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phen\OneDrive\Documents\OAGS\"/>
    </mc:Choice>
  </mc:AlternateContent>
  <xr:revisionPtr revIDLastSave="0" documentId="13_ncr:1_{F2B3AADE-5A68-4AC6-9854-50945BACBE81}" xr6:coauthVersionLast="47" xr6:coauthVersionMax="47" xr10:uidLastSave="{00000000-0000-0000-0000-000000000000}"/>
  <bookViews>
    <workbookView xWindow="-108" yWindow="-108" windowWidth="23256" windowHeight="12456" activeTab="1" xr2:uid="{B53A6BE5-3BFE-4C78-A0EE-0C65A9CD005F}"/>
  </bookViews>
  <sheets>
    <sheet name="TB Sept 2025" sheetId="3" r:id="rId1"/>
    <sheet name="P&amp;L Sept 24-25 Summary 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2" l="1"/>
  <c r="AB12" i="2"/>
  <c r="AC4" i="2"/>
  <c r="AE37" i="2"/>
  <c r="AE40" i="2"/>
  <c r="AE35" i="2"/>
  <c r="AE38" i="2" l="1"/>
  <c r="AB15" i="2"/>
  <c r="AB48" i="2"/>
  <c r="AB30" i="2"/>
  <c r="AC26" i="2"/>
  <c r="AB26" i="2"/>
  <c r="R20" i="3"/>
  <c r="R26" i="3" s="1"/>
  <c r="S26" i="3"/>
  <c r="AE33" i="2"/>
  <c r="AC27" i="2" l="1"/>
  <c r="S28" i="3"/>
  <c r="P25" i="3"/>
  <c r="W25" i="3" s="1"/>
  <c r="W26" i="3" s="1"/>
  <c r="Y46" i="2"/>
  <c r="Z22" i="2"/>
  <c r="Z26" i="2"/>
  <c r="Y17" i="2"/>
  <c r="Y48" i="2"/>
  <c r="Y15" i="2" s="1"/>
  <c r="X27" i="2"/>
  <c r="U16" i="3"/>
  <c r="U26" i="3" s="1"/>
  <c r="V24" i="3"/>
  <c r="B27" i="3"/>
  <c r="D26" i="3"/>
  <c r="C26" i="3"/>
  <c r="M25" i="3"/>
  <c r="J25" i="3"/>
  <c r="G25" i="3"/>
  <c r="O24" i="3"/>
  <c r="L24" i="3"/>
  <c r="I24" i="3"/>
  <c r="G23" i="3"/>
  <c r="J19" i="3"/>
  <c r="G19" i="3"/>
  <c r="L18" i="3"/>
  <c r="I18" i="3"/>
  <c r="L15" i="3"/>
  <c r="I14" i="3"/>
  <c r="G10" i="3"/>
  <c r="I7" i="3"/>
  <c r="F7" i="3"/>
  <c r="O6" i="3"/>
  <c r="L6" i="3"/>
  <c r="I6" i="3"/>
  <c r="F6" i="3"/>
  <c r="O4" i="3"/>
  <c r="L4" i="3"/>
  <c r="I4" i="3"/>
  <c r="F4" i="3"/>
  <c r="U47" i="2"/>
  <c r="U45" i="2"/>
  <c r="U44" i="2"/>
  <c r="U43" i="2"/>
  <c r="U42" i="2"/>
  <c r="O41" i="2"/>
  <c r="O40" i="2"/>
  <c r="O39" i="2"/>
  <c r="U38" i="2"/>
  <c r="R38" i="2"/>
  <c r="O38" i="2"/>
  <c r="U37" i="2"/>
  <c r="O37" i="2"/>
  <c r="R36" i="2"/>
  <c r="U35" i="2"/>
  <c r="R35" i="2"/>
  <c r="R34" i="2"/>
  <c r="O34" i="2"/>
  <c r="U33" i="2"/>
  <c r="R33" i="2"/>
  <c r="U32" i="2"/>
  <c r="R32" i="2"/>
  <c r="O32" i="2"/>
  <c r="U31" i="2"/>
  <c r="R31" i="2"/>
  <c r="O31" i="2"/>
  <c r="U30" i="2"/>
  <c r="R30" i="2"/>
  <c r="O30" i="2"/>
  <c r="I26" i="2"/>
  <c r="U25" i="2"/>
  <c r="R25" i="2"/>
  <c r="O25" i="2"/>
  <c r="L25" i="2"/>
  <c r="F25" i="2"/>
  <c r="U24" i="2"/>
  <c r="R24" i="2"/>
  <c r="B24" i="2"/>
  <c r="S22" i="2"/>
  <c r="V17" i="2"/>
  <c r="S17" i="2"/>
  <c r="P17" i="2"/>
  <c r="M17" i="2"/>
  <c r="E17" i="2"/>
  <c r="O16" i="2"/>
  <c r="L16" i="2"/>
  <c r="C16" i="2"/>
  <c r="L15" i="2"/>
  <c r="E15" i="2"/>
  <c r="B15" i="2"/>
  <c r="R14" i="2"/>
  <c r="O14" i="2"/>
  <c r="L14" i="2"/>
  <c r="E14" i="2"/>
  <c r="B14" i="2"/>
  <c r="U13" i="2"/>
  <c r="R13" i="2"/>
  <c r="L13" i="2"/>
  <c r="E13" i="2"/>
  <c r="B13" i="2"/>
  <c r="U12" i="2"/>
  <c r="R12" i="2"/>
  <c r="O12" i="2"/>
  <c r="L12" i="2"/>
  <c r="E12" i="2"/>
  <c r="B12" i="2"/>
  <c r="U46" i="2"/>
  <c r="R11" i="2"/>
  <c r="O11" i="2"/>
  <c r="L11" i="2"/>
  <c r="E11" i="2"/>
  <c r="B11" i="2"/>
  <c r="U10" i="2"/>
  <c r="R10" i="2"/>
  <c r="O10" i="2"/>
  <c r="L10" i="2"/>
  <c r="E10" i="2"/>
  <c r="B10" i="2"/>
  <c r="U9" i="2"/>
  <c r="R9" i="2"/>
  <c r="O9" i="2"/>
  <c r="L9" i="2"/>
  <c r="E9" i="2"/>
  <c r="B9" i="2"/>
  <c r="E8" i="2"/>
  <c r="E26" i="2" s="1"/>
  <c r="B8" i="2"/>
  <c r="B26" i="2" s="1"/>
  <c r="P7" i="2"/>
  <c r="F7" i="2"/>
  <c r="C7" i="2"/>
  <c r="V6" i="2"/>
  <c r="S6" i="2"/>
  <c r="P6" i="2"/>
  <c r="M6" i="2"/>
  <c r="J6" i="2"/>
  <c r="J26" i="2" s="1"/>
  <c r="J27" i="2" s="1"/>
  <c r="F6" i="2"/>
  <c r="C6" i="2"/>
  <c r="V5" i="2"/>
  <c r="S5" i="2"/>
  <c r="P5" i="2"/>
  <c r="M5" i="2"/>
  <c r="F5" i="2"/>
  <c r="C5" i="2"/>
  <c r="V3" i="2"/>
  <c r="S3" i="2"/>
  <c r="P3" i="2"/>
  <c r="M3" i="2"/>
  <c r="F3" i="2"/>
  <c r="F26" i="2" s="1"/>
  <c r="C3" i="2"/>
  <c r="C26" i="2" s="1"/>
  <c r="V26" i="2" l="1"/>
  <c r="C27" i="2"/>
  <c r="O48" i="2"/>
  <c r="O15" i="2" s="1"/>
  <c r="O26" i="2" s="1"/>
  <c r="R48" i="2"/>
  <c r="R15" i="2" s="1"/>
  <c r="R26" i="2" s="1"/>
  <c r="M26" i="2"/>
  <c r="S26" i="2"/>
  <c r="F27" i="2"/>
  <c r="U48" i="2"/>
  <c r="U15" i="2" s="1"/>
  <c r="L26" i="2"/>
  <c r="P26" i="2"/>
  <c r="G26" i="3"/>
  <c r="S27" i="2" l="1"/>
  <c r="M27" i="2"/>
  <c r="P27" i="2"/>
  <c r="U14" i="2" l="1"/>
  <c r="Y14" i="2" l="1"/>
  <c r="Y26" i="2" s="1"/>
  <c r="Z27" i="2" s="1"/>
  <c r="O16" i="3" s="1"/>
  <c r="U26" i="2"/>
  <c r="V27" i="2" s="1"/>
  <c r="V16" i="3" l="1"/>
  <c r="F11" i="3" l="1"/>
  <c r="F20" i="3" l="1"/>
  <c r="F26" i="3" s="1"/>
  <c r="J10" i="3"/>
  <c r="I20" i="3"/>
  <c r="I26" i="3" s="1"/>
  <c r="M10" i="3" l="1"/>
  <c r="J26" i="3"/>
  <c r="J28" i="3" s="1"/>
  <c r="L20" i="3" l="1"/>
  <c r="L26" i="3" s="1"/>
  <c r="M26" i="3"/>
  <c r="P10" i="3"/>
  <c r="P26" i="3" s="1"/>
  <c r="M28" i="3" l="1"/>
  <c r="O20" i="3"/>
  <c r="V20" i="3" s="1"/>
  <c r="O18" i="3" l="1"/>
  <c r="O26" i="3" s="1"/>
  <c r="V18" i="3" l="1"/>
  <c r="V26" i="3" s="1"/>
  <c r="W28" i="3" s="1"/>
  <c r="P28" i="3"/>
</calcChain>
</file>

<file path=xl/sharedStrings.xml><?xml version="1.0" encoding="utf-8"?>
<sst xmlns="http://schemas.openxmlformats.org/spreadsheetml/2006/main" count="143" uniqueCount="111">
  <si>
    <t>Debit</t>
  </si>
  <si>
    <t>Credit</t>
  </si>
  <si>
    <t>Expenses</t>
  </si>
  <si>
    <t>Income</t>
  </si>
  <si>
    <t>Annual Subs income</t>
  </si>
  <si>
    <t xml:space="preserve">Increase due to back subs from Nanayakkara </t>
  </si>
  <si>
    <t>Some recoveries of past non-payments in 2024</t>
  </si>
  <si>
    <t>Alleyn Club award</t>
  </si>
  <si>
    <t>Increased grant towards HH Centenary matches</t>
  </si>
  <si>
    <t>Savings Account interest</t>
  </si>
  <si>
    <t>Minimal interest but better than nothing</t>
  </si>
  <si>
    <t>Profit due to small levy on per head &amp; smaller attendance</t>
  </si>
  <si>
    <t>HH Centenary dinner instead of OAGS dinner</t>
  </si>
  <si>
    <t>Printing, Postage &amp; Stationery</t>
  </si>
  <si>
    <t>PP&amp;S costs incurred by Duncan</t>
  </si>
  <si>
    <t>Public School Old Boys Assoc fee</t>
  </si>
  <si>
    <t>Normal fee</t>
  </si>
  <si>
    <t>Halford Hewitt entry fee</t>
  </si>
  <si>
    <t>HH Accommodation costs</t>
  </si>
  <si>
    <t>All accommodation costs recovered this year</t>
  </si>
  <si>
    <t>Cyril Gray entry fee</t>
  </si>
  <si>
    <t>Royal Wimbledon GC Putting Comp</t>
  </si>
  <si>
    <t>Grafton Morrish entry fee &amp; Accommodation</t>
  </si>
  <si>
    <t>Match subsidies</t>
  </si>
  <si>
    <t>Subsidising younger members at matches etc</t>
  </si>
  <si>
    <r>
      <t xml:space="preserve">Net subsidies for various events; </t>
    </r>
    <r>
      <rPr>
        <b/>
        <sz val="11"/>
        <color theme="1"/>
        <rFont val="Aptos Narrow"/>
        <family val="2"/>
        <scheme val="minor"/>
      </rPr>
      <t>see below</t>
    </r>
  </si>
  <si>
    <t>Royal Burgess entry fee</t>
  </si>
  <si>
    <t>Sales of ties costs w/off previously</t>
  </si>
  <si>
    <t xml:space="preserve">Broadly represents stock of ties </t>
  </si>
  <si>
    <t>Part utilisation of donation</t>
  </si>
  <si>
    <t>Sundry expenses (trophies etc)</t>
  </si>
  <si>
    <t>Repairs to Trophies etc</t>
  </si>
  <si>
    <t>Cost &amp; Maintenance of Website</t>
  </si>
  <si>
    <t>Ongoing cost.</t>
  </si>
  <si>
    <t>Deficit for the year</t>
  </si>
  <si>
    <t>£660 increase on 2016</t>
  </si>
  <si>
    <t>Subsidies for U30's participation in events</t>
  </si>
  <si>
    <t>Autumn Meeting</t>
  </si>
  <si>
    <t>Spring Meeting</t>
  </si>
  <si>
    <t>Lorretto Match at NZ</t>
  </si>
  <si>
    <t>NZ Meeting</t>
  </si>
  <si>
    <t>HH Trial</t>
  </si>
  <si>
    <t>Rye Meeting</t>
  </si>
  <si>
    <t>Dulwich &amp; Sydenham event</t>
  </si>
  <si>
    <t>Deal Meeting</t>
  </si>
  <si>
    <t>Wildernesse Event</t>
  </si>
  <si>
    <t>St Georges Hill Green Fees</t>
  </si>
  <si>
    <t>HH Centnary Dinner</t>
  </si>
  <si>
    <t>Chislehurst Match</t>
  </si>
  <si>
    <t>The Berkshire Society Day</t>
  </si>
  <si>
    <t>Schoolmatch</t>
  </si>
  <si>
    <t>Whitgift match subsidy</t>
  </si>
  <si>
    <t>Bank Current Account</t>
  </si>
  <si>
    <t>Bank Deposit Account</t>
  </si>
  <si>
    <t>Savings Account</t>
  </si>
  <si>
    <t>Petty Cash</t>
  </si>
  <si>
    <t>Surplus to Sept 2019</t>
  </si>
  <si>
    <t>Deficit to Sept 2020</t>
  </si>
  <si>
    <t>Surplus brought forward</t>
  </si>
  <si>
    <t>Deficit to Sept 30th 2021</t>
  </si>
  <si>
    <t>Duncan Anderson Account</t>
  </si>
  <si>
    <t>Graham Curtis Creditor</t>
  </si>
  <si>
    <t>Deficit to Sept 30th 2022</t>
  </si>
  <si>
    <t>Deficit to Sept 30th 2023</t>
  </si>
  <si>
    <t>Deficit to Sept 30th 2024</t>
  </si>
  <si>
    <t>Stock of merchandise</t>
  </si>
  <si>
    <t>Sundry Creditor</t>
  </si>
  <si>
    <t>SGB ac</t>
  </si>
  <si>
    <t>Difference</t>
  </si>
  <si>
    <t>Accruals</t>
  </si>
  <si>
    <t>Accrued Income; Alleyn Club Grant</t>
  </si>
  <si>
    <t>Tim Franey donation account</t>
  </si>
  <si>
    <t>Still a healthy balance</t>
  </si>
  <si>
    <t>Adjust's</t>
  </si>
  <si>
    <t>Didn't qualify for 2024/25 comp but costs still incurred</t>
  </si>
  <si>
    <t>Slight increase in entry fee in 2024</t>
  </si>
  <si>
    <r>
      <t xml:space="preserve">Unrecovered HH costs. </t>
    </r>
    <r>
      <rPr>
        <b/>
        <sz val="11"/>
        <color theme="1"/>
        <rFont val="Aptos Narrow"/>
        <family val="2"/>
        <scheme val="minor"/>
      </rPr>
      <t>NOW moved to subsidies</t>
    </r>
  </si>
  <si>
    <t>HH Entry Fee</t>
  </si>
  <si>
    <t>Cyril Gray Entry Fee</t>
  </si>
  <si>
    <t>Grafton Morrish Entry Fee</t>
  </si>
  <si>
    <t>Wimbledon Putting Entry Fee</t>
  </si>
  <si>
    <t>TOTAL ENTRY FEES</t>
  </si>
  <si>
    <t>Members subscriptions</t>
  </si>
  <si>
    <t>Shortfall</t>
  </si>
  <si>
    <t>HH Trial &amp; Princes Accommodation costs</t>
  </si>
  <si>
    <t>Deficit to Sept 30th 2025</t>
  </si>
  <si>
    <t>Prepayments &amp; Accruals</t>
  </si>
  <si>
    <t>Break-even due to U30 subsidy &amp; increase in OAA grant</t>
  </si>
  <si>
    <t>Written down by £770 for old stock &amp; cost of sales.  Includes wine stock of £553</t>
  </si>
  <si>
    <t>Not utilised in 2024-25 Income &amp; Expenditure Statement.</t>
  </si>
  <si>
    <t>Gradually reducing past surpluses.</t>
  </si>
  <si>
    <t>Includes receipts in advance for Autumn meet &amp; Wilderness Invoice accrual</t>
  </si>
  <si>
    <t>U30's subsidy from OAA</t>
  </si>
  <si>
    <t>Gifts of Centenary HH Book &amp; postage</t>
  </si>
  <si>
    <t>Stock write off &amp; cost of sales</t>
  </si>
  <si>
    <t>Centenary Dinner surplus</t>
  </si>
  <si>
    <t>Wine purchases less sales</t>
  </si>
  <si>
    <t>Wine prizes for golf events</t>
  </si>
  <si>
    <t>NZ Triangular Match</t>
  </si>
  <si>
    <t>RStG Green Fees</t>
  </si>
  <si>
    <t>Still minimal interest; better than nothing</t>
  </si>
  <si>
    <t>Increased in 2022/24 towards Centenary matches</t>
  </si>
  <si>
    <t>Sales from existing stock</t>
  </si>
  <si>
    <t>Partially recovered in event entry fees</t>
  </si>
  <si>
    <t>Write off of past prizes, tie, caps etc purchased</t>
  </si>
  <si>
    <t>Utilising of donation fund towards U30's subsidies in 2023/24</t>
  </si>
  <si>
    <t>Under 30's Subsidies (Costs)</t>
  </si>
  <si>
    <t>Annual OAA Grant to OAGS</t>
  </si>
  <si>
    <t>Defict/Break-even</t>
  </si>
  <si>
    <t>Centenary subsidy from OAA to support Under 30's</t>
  </si>
  <si>
    <t>Centenary U30's grant from OAA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</si>
</sst>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3" fillId="0" borderId="0" xfId="0" applyFont="1"/>
    <xf numFmtId="2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ec262fb85f895bc/Documents/OAGS/Accounts%20Ledger%20New%20Format%202021.xlsx" TargetMode="External"/><Relationship Id="rId1" Type="http://schemas.openxmlformats.org/officeDocument/2006/relationships/externalLinkPath" Target="Accounts%20Ledger%20New%20Forma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"/>
      <sheetName val="Query 2022"/>
      <sheetName val="TB Sept 2022"/>
      <sheetName val="TB Sept 2021"/>
      <sheetName val="Subs 20-21"/>
      <sheetName val="2020-21 Queries"/>
      <sheetName val="Subs 21-22"/>
      <sheetName val="Subs 22-23"/>
      <sheetName val="P&amp;L Sept 22-23 Sumary (2)"/>
      <sheetName val="TB Sept 2023"/>
      <sheetName val="2024 entries"/>
      <sheetName val="Subs 23-24"/>
      <sheetName val="Subs Summary"/>
      <sheetName val="TB Sept 2024"/>
      <sheetName val="Cash Book 2023-24"/>
      <sheetName val="P&amp;L Sept 23-24 Sumary "/>
      <sheetName val="Stocks"/>
      <sheetName val="GM fee &amp; accom"/>
      <sheetName val="HH Accom"/>
      <sheetName val="Spring Meet "/>
      <sheetName val="Autumn Meet"/>
      <sheetName val="Rye Meet"/>
      <sheetName val="AGM Meet"/>
      <sheetName val="NZ Meets"/>
      <sheetName val="Centenary Dinner"/>
      <sheetName val="HH Trial"/>
      <sheetName val="Prepayments"/>
      <sheetName val="Cash Book 2022-23"/>
      <sheetName val="P&amp;L Sept 22-23 Sumary"/>
      <sheetName val="P&amp;L Sept 21-22 Sumary "/>
      <sheetName val="Accruals"/>
      <sheetName val="Cash Book 2021-22"/>
      <sheetName val="Cashflow"/>
      <sheetName val="Dinner 2018-22"/>
      <sheetName val="Deal Meet"/>
      <sheetName val="Cash Book 2020-21"/>
      <sheetName val="P&amp;L Sept 20-21 Sumary"/>
      <sheetName val="Match sub"/>
      <sheetName val="Duncan ac"/>
      <sheetName val="Tim Franey"/>
      <sheetName val="P&amp;L Sept 19-20"/>
      <sheetName val="P&amp;L Sept 18-19"/>
      <sheetName val="P&amp;L Sept 17-18"/>
      <sheetName val="Savings ac"/>
      <sheetName val="Dinner 2017"/>
      <sheetName val="Duncan A"/>
      <sheetName val="SGB ac"/>
      <sheetName val="Petty Cash"/>
      <sheetName val="Surplus ac"/>
      <sheetName val="Youth Fund"/>
      <sheetName val="Subs"/>
      <sheetName val="Subs 06-07"/>
      <sheetName val="Subs 07-08"/>
      <sheetName val="Subs 08-09"/>
      <sheetName val="Subs 09-10"/>
      <sheetName val="Subs 10-11"/>
      <sheetName val="Subs 11-12"/>
      <sheetName val="Subs 12-13"/>
      <sheetName val="Subs 13-14"/>
      <sheetName val="Subs 14-15"/>
      <sheetName val="Subs 15-16"/>
      <sheetName val="Subs 16-17"/>
      <sheetName val="Subs list"/>
      <sheetName val="Subs 17-18"/>
      <sheetName val="Subs Full Li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8">
          <cell r="I248">
            <v>-2698</v>
          </cell>
          <cell r="M248">
            <v>17</v>
          </cell>
          <cell r="N248">
            <v>830</v>
          </cell>
          <cell r="P248">
            <v>73.75</v>
          </cell>
          <cell r="Q248">
            <v>435</v>
          </cell>
          <cell r="S248">
            <v>126.89999999999998</v>
          </cell>
          <cell r="T248">
            <v>25</v>
          </cell>
          <cell r="U248">
            <v>1600</v>
          </cell>
          <cell r="V248">
            <v>145</v>
          </cell>
          <cell r="W248">
            <v>210.29</v>
          </cell>
          <cell r="AD248">
            <v>-2600</v>
          </cell>
          <cell r="AF248">
            <v>-40</v>
          </cell>
          <cell r="AG248">
            <v>288</v>
          </cell>
        </row>
        <row r="249">
          <cell r="C249">
            <v>3271.1099999999933</v>
          </cell>
        </row>
        <row r="263">
          <cell r="AE263">
            <v>52.5</v>
          </cell>
        </row>
      </sheetData>
      <sheetData sheetId="15"/>
      <sheetData sheetId="16">
        <row r="10">
          <cell r="C10">
            <v>870.01000000000022</v>
          </cell>
        </row>
      </sheetData>
      <sheetData sheetId="17">
        <row r="15">
          <cell r="C15">
            <v>-1443.58</v>
          </cell>
        </row>
      </sheetData>
      <sheetData sheetId="18">
        <row r="16">
          <cell r="C16">
            <v>1120</v>
          </cell>
        </row>
        <row r="97">
          <cell r="C97">
            <v>-1403.21</v>
          </cell>
        </row>
      </sheetData>
      <sheetData sheetId="19">
        <row r="83">
          <cell r="C83">
            <v>430</v>
          </cell>
        </row>
      </sheetData>
      <sheetData sheetId="20">
        <row r="83">
          <cell r="C83">
            <v>-129</v>
          </cell>
        </row>
      </sheetData>
      <sheetData sheetId="21">
        <row r="40">
          <cell r="C40">
            <v>-459</v>
          </cell>
        </row>
      </sheetData>
      <sheetData sheetId="22">
        <row r="94">
          <cell r="C94">
            <v>118.10000000000014</v>
          </cell>
        </row>
      </sheetData>
      <sheetData sheetId="23">
        <row r="112">
          <cell r="C112">
            <v>-51</v>
          </cell>
        </row>
        <row r="131">
          <cell r="C131">
            <v>-35</v>
          </cell>
        </row>
      </sheetData>
      <sheetData sheetId="24">
        <row r="27">
          <cell r="C27">
            <v>-325</v>
          </cell>
        </row>
      </sheetData>
      <sheetData sheetId="25"/>
      <sheetData sheetId="26">
        <row r="7">
          <cell r="D7">
            <v>970</v>
          </cell>
        </row>
        <row r="9">
          <cell r="C9">
            <v>0</v>
          </cell>
        </row>
        <row r="17">
          <cell r="C17">
            <v>1660</v>
          </cell>
        </row>
        <row r="54">
          <cell r="C54">
            <v>2423.7900000000004</v>
          </cell>
        </row>
        <row r="65">
          <cell r="C65">
            <v>462.00000000000045</v>
          </cell>
        </row>
      </sheetData>
      <sheetData sheetId="27">
        <row r="241">
          <cell r="I241">
            <v>-2575</v>
          </cell>
          <cell r="J241">
            <v>860</v>
          </cell>
          <cell r="K241">
            <v>208</v>
          </cell>
          <cell r="L241">
            <v>785</v>
          </cell>
          <cell r="M241">
            <v>532.5</v>
          </cell>
          <cell r="N241">
            <v>-212.26</v>
          </cell>
          <cell r="O241">
            <v>0</v>
          </cell>
          <cell r="R241">
            <v>25</v>
          </cell>
          <cell r="S241">
            <v>1540</v>
          </cell>
          <cell r="T241">
            <v>141</v>
          </cell>
          <cell r="V241">
            <v>1125.58</v>
          </cell>
          <cell r="W241">
            <v>150.84999999999991</v>
          </cell>
          <cell r="Y241">
            <v>455</v>
          </cell>
          <cell r="Z241">
            <v>-215.66000000000008</v>
          </cell>
          <cell r="AB241">
            <v>257.60000000000002</v>
          </cell>
          <cell r="AC241">
            <v>-180</v>
          </cell>
          <cell r="AD241">
            <v>288</v>
          </cell>
          <cell r="AE241">
            <v>67</v>
          </cell>
        </row>
        <row r="242">
          <cell r="C242">
            <v>874.71999999999389</v>
          </cell>
        </row>
      </sheetData>
      <sheetData sheetId="28">
        <row r="23">
          <cell r="S23">
            <v>-612.27999999999975</v>
          </cell>
        </row>
      </sheetData>
      <sheetData sheetId="29">
        <row r="23">
          <cell r="P23">
            <v>38.050000000000182</v>
          </cell>
        </row>
      </sheetData>
      <sheetData sheetId="30">
        <row r="12">
          <cell r="D12">
            <v>190</v>
          </cell>
        </row>
        <row r="13">
          <cell r="C13">
            <v>95</v>
          </cell>
        </row>
        <row r="14">
          <cell r="C14">
            <v>95</v>
          </cell>
        </row>
        <row r="15">
          <cell r="C15">
            <v>2000</v>
          </cell>
        </row>
        <row r="17">
          <cell r="C17">
            <v>2000</v>
          </cell>
        </row>
        <row r="20">
          <cell r="C20">
            <v>2000</v>
          </cell>
        </row>
        <row r="22">
          <cell r="C22">
            <v>2000</v>
          </cell>
        </row>
        <row r="25">
          <cell r="C25">
            <v>0</v>
          </cell>
        </row>
      </sheetData>
      <sheetData sheetId="31">
        <row r="28">
          <cell r="AB28">
            <v>110</v>
          </cell>
        </row>
        <row r="206">
          <cell r="AB206">
            <v>-15</v>
          </cell>
        </row>
        <row r="207">
          <cell r="AB207">
            <v>60</v>
          </cell>
        </row>
        <row r="208">
          <cell r="AB208">
            <v>-15</v>
          </cell>
        </row>
        <row r="229">
          <cell r="AB229">
            <v>150</v>
          </cell>
        </row>
        <row r="231">
          <cell r="I231">
            <v>-2855</v>
          </cell>
          <cell r="J231">
            <v>1115</v>
          </cell>
          <cell r="K231">
            <v>422</v>
          </cell>
          <cell r="L231">
            <v>795</v>
          </cell>
          <cell r="M231">
            <v>295</v>
          </cell>
          <cell r="N231">
            <v>216.46000000000004</v>
          </cell>
          <cell r="O231">
            <v>223</v>
          </cell>
          <cell r="P231">
            <v>-208.40000000000009</v>
          </cell>
          <cell r="Q231">
            <v>399.5</v>
          </cell>
          <cell r="R231">
            <v>25</v>
          </cell>
          <cell r="S231">
            <v>990</v>
          </cell>
          <cell r="V231">
            <v>250</v>
          </cell>
          <cell r="W231">
            <v>94.5</v>
          </cell>
          <cell r="AA231">
            <v>20</v>
          </cell>
          <cell r="AC231">
            <v>-205</v>
          </cell>
          <cell r="AD231">
            <v>288</v>
          </cell>
          <cell r="AF231">
            <v>1010.94</v>
          </cell>
        </row>
        <row r="232">
          <cell r="C232">
            <v>1641.119999999999</v>
          </cell>
        </row>
      </sheetData>
      <sheetData sheetId="32"/>
      <sheetData sheetId="33"/>
      <sheetData sheetId="34"/>
      <sheetData sheetId="35">
        <row r="113">
          <cell r="I113">
            <v>-2605</v>
          </cell>
          <cell r="M113">
            <v>25</v>
          </cell>
          <cell r="O113">
            <v>135</v>
          </cell>
          <cell r="P113">
            <v>-1000</v>
          </cell>
          <cell r="Q113">
            <v>250</v>
          </cell>
          <cell r="V113">
            <v>120</v>
          </cell>
          <cell r="X113">
            <v>-20</v>
          </cell>
          <cell r="Y113">
            <v>306</v>
          </cell>
        </row>
        <row r="114">
          <cell r="C114">
            <v>4967.119999999999</v>
          </cell>
        </row>
      </sheetData>
      <sheetData sheetId="36">
        <row r="23">
          <cell r="M23">
            <v>-364.88999999999987</v>
          </cell>
        </row>
      </sheetData>
      <sheetData sheetId="37">
        <row r="8">
          <cell r="C8">
            <v>364.46</v>
          </cell>
        </row>
      </sheetData>
      <sheetData sheetId="38">
        <row r="6">
          <cell r="C6">
            <v>0</v>
          </cell>
        </row>
      </sheetData>
      <sheetData sheetId="39">
        <row r="6">
          <cell r="D6">
            <v>2000</v>
          </cell>
        </row>
        <row r="14">
          <cell r="D14">
            <v>2500</v>
          </cell>
        </row>
        <row r="16">
          <cell r="C16">
            <v>600</v>
          </cell>
        </row>
        <row r="18">
          <cell r="D18">
            <v>2650</v>
          </cell>
        </row>
        <row r="21">
          <cell r="D21">
            <v>1250</v>
          </cell>
        </row>
      </sheetData>
      <sheetData sheetId="40"/>
      <sheetData sheetId="41"/>
      <sheetData sheetId="42"/>
      <sheetData sheetId="43">
        <row r="19">
          <cell r="C19">
            <v>2.3999999999999995</v>
          </cell>
        </row>
        <row r="21">
          <cell r="C21">
            <v>4.2</v>
          </cell>
        </row>
        <row r="25">
          <cell r="C25">
            <v>16.88</v>
          </cell>
        </row>
        <row r="28">
          <cell r="C28">
            <v>9.69</v>
          </cell>
        </row>
        <row r="53">
          <cell r="E53">
            <v>17.75</v>
          </cell>
        </row>
        <row r="56">
          <cell r="C56">
            <v>0.56999999999999995</v>
          </cell>
        </row>
        <row r="57">
          <cell r="D57">
            <v>700</v>
          </cell>
        </row>
        <row r="59">
          <cell r="C59">
            <v>7135.65</v>
          </cell>
        </row>
        <row r="60">
          <cell r="C60">
            <v>0.37</v>
          </cell>
        </row>
        <row r="62">
          <cell r="C62">
            <v>2.74</v>
          </cell>
        </row>
        <row r="64">
          <cell r="C64">
            <v>6138.7599999999993</v>
          </cell>
        </row>
        <row r="68">
          <cell r="E68">
            <v>40.33</v>
          </cell>
        </row>
        <row r="71">
          <cell r="C71">
            <v>5679.0899999999992</v>
          </cell>
        </row>
        <row r="76">
          <cell r="E76">
            <v>78.02</v>
          </cell>
        </row>
        <row r="78">
          <cell r="C78">
            <v>5293.1099999999988</v>
          </cell>
        </row>
      </sheetData>
      <sheetData sheetId="44"/>
      <sheetData sheetId="45"/>
      <sheetData sheetId="46"/>
      <sheetData sheetId="47">
        <row r="5">
          <cell r="C5">
            <v>0</v>
          </cell>
        </row>
        <row r="12">
          <cell r="C12">
            <v>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BAAF-1F20-4E2C-AFC2-A5288F472C13}">
  <dimension ref="A1:W29"/>
  <sheetViews>
    <sheetView zoomScaleNormal="100" workbookViewId="0">
      <selection activeCell="Y20" sqref="Y20"/>
    </sheetView>
  </sheetViews>
  <sheetFormatPr defaultRowHeight="14.4" x14ac:dyDescent="0.3"/>
  <cols>
    <col min="1" max="1" width="36.109375" customWidth="1"/>
    <col min="2" max="2" width="2.6640625" customWidth="1"/>
    <col min="3" max="3" width="9.5546875" hidden="1" customWidth="1"/>
    <col min="4" max="4" width="9.21875" hidden="1" customWidth="1"/>
    <col min="5" max="5" width="2.6640625" hidden="1" customWidth="1"/>
    <col min="6" max="6" width="9" hidden="1" customWidth="1"/>
    <col min="7" max="7" width="10.44140625" hidden="1" customWidth="1"/>
    <col min="8" max="8" width="2.6640625" hidden="1" customWidth="1"/>
    <col min="9" max="10" width="11.21875" hidden="1" customWidth="1"/>
    <col min="11" max="11" width="2.6640625" hidden="1" customWidth="1"/>
    <col min="12" max="12" width="9.5546875" customWidth="1"/>
    <col min="13" max="13" width="10.6640625" customWidth="1"/>
    <col min="14" max="14" width="2.6640625" customWidth="1"/>
    <col min="15" max="15" width="9.5546875" customWidth="1"/>
    <col min="16" max="16" width="10.6640625" customWidth="1"/>
    <col min="17" max="17" width="4.21875" customWidth="1"/>
    <col min="18" max="19" width="10.6640625" customWidth="1"/>
    <col min="20" max="20" width="49.77734375" customWidth="1"/>
    <col min="21" max="21" width="0" hidden="1" customWidth="1"/>
    <col min="22" max="22" width="9.5546875" hidden="1" customWidth="1"/>
    <col min="23" max="23" width="10.6640625" hidden="1" customWidth="1"/>
  </cols>
  <sheetData>
    <row r="1" spans="1:23" x14ac:dyDescent="0.3">
      <c r="C1" s="1" t="s">
        <v>0</v>
      </c>
      <c r="D1" s="1" t="s">
        <v>1</v>
      </c>
      <c r="F1" s="1" t="s">
        <v>0</v>
      </c>
      <c r="G1" s="1" t="s">
        <v>1</v>
      </c>
      <c r="I1" s="1" t="s">
        <v>0</v>
      </c>
      <c r="J1" s="1" t="s">
        <v>1</v>
      </c>
      <c r="L1" s="1" t="s">
        <v>0</v>
      </c>
      <c r="M1" s="1" t="s">
        <v>1</v>
      </c>
      <c r="O1" s="1" t="s">
        <v>0</v>
      </c>
      <c r="P1" s="1" t="s">
        <v>1</v>
      </c>
      <c r="Q1" s="1"/>
      <c r="R1" s="1" t="s">
        <v>0</v>
      </c>
      <c r="S1" s="1" t="s">
        <v>1</v>
      </c>
      <c r="U1" s="1" t="s">
        <v>73</v>
      </c>
      <c r="V1" s="1" t="s">
        <v>0</v>
      </c>
      <c r="W1" s="1" t="s">
        <v>1</v>
      </c>
    </row>
    <row r="2" spans="1:23" x14ac:dyDescent="0.3">
      <c r="C2" s="1">
        <v>2020</v>
      </c>
      <c r="D2" s="1">
        <v>2020</v>
      </c>
      <c r="F2" s="1">
        <v>2021</v>
      </c>
      <c r="G2" s="1">
        <v>2021</v>
      </c>
      <c r="I2" s="1">
        <v>2022</v>
      </c>
      <c r="J2" s="1">
        <v>2022</v>
      </c>
      <c r="L2" s="1">
        <v>2023</v>
      </c>
      <c r="M2" s="1">
        <v>2023</v>
      </c>
      <c r="O2" s="1">
        <v>2024</v>
      </c>
      <c r="P2" s="1">
        <v>2024</v>
      </c>
      <c r="Q2" s="1"/>
      <c r="R2" s="1">
        <v>2025</v>
      </c>
      <c r="S2" s="1">
        <v>2025</v>
      </c>
      <c r="V2" s="1">
        <v>2024</v>
      </c>
      <c r="W2" s="1">
        <v>2024</v>
      </c>
    </row>
    <row r="4" spans="1:23" x14ac:dyDescent="0.3">
      <c r="A4" t="s">
        <v>52</v>
      </c>
      <c r="C4" s="6">
        <v>5455.58</v>
      </c>
      <c r="D4" s="6"/>
      <c r="F4" s="6">
        <f>'[1]Cash Book 2020-21'!C114</f>
        <v>4967.119999999999</v>
      </c>
      <c r="G4" s="6"/>
      <c r="I4" s="6">
        <f>'[1]Cash Book 2021-22'!C232</f>
        <v>1641.119999999999</v>
      </c>
      <c r="J4" s="6"/>
      <c r="L4" s="6">
        <f>'[1]Cash Book 2022-23'!C242</f>
        <v>874.71999999999389</v>
      </c>
      <c r="O4" s="6">
        <f>'[1]Cash Book 2023-24'!C249</f>
        <v>3271.1099999999933</v>
      </c>
      <c r="R4">
        <v>2915</v>
      </c>
      <c r="T4" t="s">
        <v>72</v>
      </c>
      <c r="V4" s="6">
        <v>3271</v>
      </c>
    </row>
    <row r="5" spans="1:23" x14ac:dyDescent="0.3">
      <c r="A5" t="s">
        <v>53</v>
      </c>
      <c r="C5" s="6">
        <v>0</v>
      </c>
      <c r="D5" s="6"/>
      <c r="F5" s="6"/>
      <c r="G5" s="6"/>
      <c r="I5" s="6"/>
      <c r="J5" s="6"/>
      <c r="L5" s="6"/>
      <c r="O5" s="6"/>
      <c r="V5" s="6"/>
    </row>
    <row r="6" spans="1:23" x14ac:dyDescent="0.3">
      <c r="A6" t="s">
        <v>54</v>
      </c>
      <c r="C6" s="6">
        <v>7834.89</v>
      </c>
      <c r="D6" s="6"/>
      <c r="F6" s="6">
        <f>'[1]Savings ac'!C59</f>
        <v>7135.65</v>
      </c>
      <c r="G6" s="6"/>
      <c r="I6" s="6">
        <f>'[1]Savings ac'!C64</f>
        <v>6138.7599999999993</v>
      </c>
      <c r="J6" s="6"/>
      <c r="L6" s="6">
        <f>'[1]Savings ac'!C71</f>
        <v>5679.0899999999992</v>
      </c>
      <c r="O6" s="6">
        <f>'[1]Savings ac'!C78</f>
        <v>5293.1099999999988</v>
      </c>
      <c r="R6">
        <v>5367</v>
      </c>
      <c r="T6" t="s">
        <v>72</v>
      </c>
      <c r="V6" s="6">
        <v>5293</v>
      </c>
    </row>
    <row r="7" spans="1:23" x14ac:dyDescent="0.3">
      <c r="A7" t="s">
        <v>55</v>
      </c>
      <c r="C7" s="6">
        <v>0</v>
      </c>
      <c r="D7" s="6"/>
      <c r="F7" s="6">
        <f>'[1]Petty Cash'!C5</f>
        <v>0</v>
      </c>
      <c r="G7" s="6"/>
      <c r="I7" s="6">
        <f>'[1]Petty Cash'!C12</f>
        <v>0</v>
      </c>
      <c r="J7" s="6"/>
      <c r="L7" s="6"/>
      <c r="O7" s="6"/>
      <c r="V7" s="6"/>
    </row>
    <row r="8" spans="1:23" x14ac:dyDescent="0.3">
      <c r="A8" t="s">
        <v>56</v>
      </c>
      <c r="C8" s="6"/>
      <c r="D8" s="6"/>
      <c r="F8" s="6"/>
      <c r="G8" s="6"/>
      <c r="I8" s="6"/>
      <c r="J8" s="6"/>
      <c r="L8" s="6"/>
      <c r="O8" s="6"/>
      <c r="V8" s="6"/>
    </row>
    <row r="9" spans="1:23" x14ac:dyDescent="0.3">
      <c r="A9" t="s">
        <v>57</v>
      </c>
      <c r="C9" s="6">
        <v>845.17</v>
      </c>
      <c r="D9" s="6"/>
      <c r="F9" s="6"/>
      <c r="G9" s="6"/>
      <c r="I9" s="6"/>
      <c r="J9" s="6"/>
      <c r="L9" s="6"/>
      <c r="O9" s="6"/>
      <c r="V9" s="6"/>
    </row>
    <row r="10" spans="1:23" x14ac:dyDescent="0.3">
      <c r="A10" t="s">
        <v>58</v>
      </c>
      <c r="C10" s="6"/>
      <c r="D10" s="6">
        <v>11122.78</v>
      </c>
      <c r="F10" s="6"/>
      <c r="G10" s="6">
        <f>D10-C9</f>
        <v>10277.61</v>
      </c>
      <c r="I10" s="6"/>
      <c r="J10" s="6">
        <f>G10-F11</f>
        <v>9912.7200000000012</v>
      </c>
      <c r="L10" s="6"/>
      <c r="M10" s="6">
        <f>J10-I14</f>
        <v>9950.77</v>
      </c>
      <c r="O10" s="6"/>
      <c r="P10" s="6">
        <f>M10-L15</f>
        <v>9338.4900000000016</v>
      </c>
      <c r="Q10" s="6"/>
      <c r="R10" s="6"/>
      <c r="S10" s="6">
        <v>8646</v>
      </c>
      <c r="T10" t="s">
        <v>90</v>
      </c>
      <c r="V10" s="6"/>
      <c r="W10" s="6">
        <v>9338</v>
      </c>
    </row>
    <row r="11" spans="1:23" x14ac:dyDescent="0.3">
      <c r="A11" t="s">
        <v>59</v>
      </c>
      <c r="C11" s="6"/>
      <c r="D11" s="6"/>
      <c r="F11" s="6">
        <f>('[1]P&amp;L Sept 20-21 Sumary'!M23)*-1</f>
        <v>364.88999999999987</v>
      </c>
      <c r="G11" s="6"/>
      <c r="I11" s="6"/>
      <c r="J11" s="6"/>
      <c r="L11" s="6"/>
      <c r="O11" s="6"/>
      <c r="V11" s="6"/>
    </row>
    <row r="12" spans="1:23" hidden="1" x14ac:dyDescent="0.3">
      <c r="A12" t="s">
        <v>60</v>
      </c>
      <c r="C12" s="6"/>
      <c r="D12" s="6"/>
      <c r="F12" s="6"/>
      <c r="G12" s="6"/>
      <c r="I12" s="6"/>
      <c r="J12" s="6"/>
      <c r="L12" s="6"/>
      <c r="O12" s="6"/>
      <c r="V12" s="6"/>
    </row>
    <row r="13" spans="1:23" hidden="1" x14ac:dyDescent="0.3">
      <c r="A13" t="s">
        <v>61</v>
      </c>
      <c r="C13" s="6"/>
      <c r="D13" s="6"/>
      <c r="F13" s="6"/>
      <c r="G13" s="6"/>
      <c r="I13" s="6"/>
      <c r="J13" s="6"/>
      <c r="L13" s="6"/>
      <c r="O13" s="6"/>
      <c r="V13" s="6"/>
    </row>
    <row r="14" spans="1:23" x14ac:dyDescent="0.3">
      <c r="A14" t="s">
        <v>62</v>
      </c>
      <c r="C14" s="6"/>
      <c r="D14" s="6"/>
      <c r="F14" s="6"/>
      <c r="G14" s="6"/>
      <c r="I14" s="6">
        <f>SUM('[1]P&amp;L Sept 21-22 Sumary '!P23)*-1</f>
        <v>-38.050000000000182</v>
      </c>
      <c r="J14" s="6"/>
      <c r="L14" s="6"/>
      <c r="O14" s="6"/>
      <c r="V14" s="6"/>
    </row>
    <row r="15" spans="1:23" x14ac:dyDescent="0.3">
      <c r="A15" t="s">
        <v>63</v>
      </c>
      <c r="C15" s="6"/>
      <c r="D15" s="6"/>
      <c r="F15" s="6"/>
      <c r="G15" s="6"/>
      <c r="I15" s="6"/>
      <c r="J15" s="6"/>
      <c r="L15" s="6">
        <f>SUM('[1]P&amp;L Sept 22-23 Sumary'!S23)*-1</f>
        <v>612.27999999999975</v>
      </c>
    </row>
    <row r="16" spans="1:23" x14ac:dyDescent="0.3">
      <c r="A16" t="s">
        <v>64</v>
      </c>
      <c r="C16" s="6"/>
      <c r="D16" s="6"/>
      <c r="F16" s="6"/>
      <c r="G16" s="6"/>
      <c r="I16" s="6"/>
      <c r="J16" s="6"/>
      <c r="L16" s="6"/>
      <c r="O16" s="6">
        <f>'P&amp;L Sept 24-25 Summary '!Z27*-1</f>
        <v>690.90999999999894</v>
      </c>
      <c r="U16">
        <f>471-1393-300</f>
        <v>-1222</v>
      </c>
      <c r="V16" s="6">
        <f>O16+U16</f>
        <v>-531.09000000000106</v>
      </c>
    </row>
    <row r="17" spans="1:23" x14ac:dyDescent="0.3">
      <c r="A17" t="s">
        <v>85</v>
      </c>
      <c r="C17" s="6"/>
      <c r="D17" s="6"/>
      <c r="F17" s="6"/>
      <c r="G17" s="6"/>
      <c r="I17" s="6"/>
      <c r="J17" s="6"/>
      <c r="L17" s="6"/>
      <c r="O17" s="6"/>
      <c r="R17">
        <v>3</v>
      </c>
      <c r="T17" t="s">
        <v>87</v>
      </c>
      <c r="V17" s="6"/>
    </row>
    <row r="18" spans="1:23" x14ac:dyDescent="0.3">
      <c r="A18" t="s">
        <v>65</v>
      </c>
      <c r="C18" s="6"/>
      <c r="D18" s="6"/>
      <c r="F18" s="6"/>
      <c r="G18" s="6"/>
      <c r="I18" s="6">
        <f>'[1]Cash Book 2021-22'!AF231</f>
        <v>1010.94</v>
      </c>
      <c r="J18" s="6"/>
      <c r="L18" s="6">
        <f>'[1]Cash Book 2021-22'!AF231</f>
        <v>1010.94</v>
      </c>
      <c r="O18" s="6">
        <f>[1]Stocks!C10</f>
        <v>870.01000000000022</v>
      </c>
      <c r="R18">
        <v>653</v>
      </c>
      <c r="T18" t="s">
        <v>88</v>
      </c>
      <c r="U18">
        <v>-471</v>
      </c>
      <c r="V18" s="6">
        <f>O18+U18</f>
        <v>399.01000000000022</v>
      </c>
    </row>
    <row r="19" spans="1:23" x14ac:dyDescent="0.3">
      <c r="A19" t="s">
        <v>66</v>
      </c>
      <c r="C19" s="6"/>
      <c r="D19" s="6">
        <v>8</v>
      </c>
      <c r="F19" s="6"/>
      <c r="G19" s="6">
        <f>'[1]Duncan ac'!C6</f>
        <v>0</v>
      </c>
      <c r="I19" s="6"/>
      <c r="J19" s="6">
        <f>'[1]Duncan ac'!F6</f>
        <v>0</v>
      </c>
      <c r="L19" s="6"/>
      <c r="O19" s="6"/>
      <c r="V19" s="6"/>
    </row>
    <row r="20" spans="1:23" x14ac:dyDescent="0.3">
      <c r="A20" t="s">
        <v>86</v>
      </c>
      <c r="C20" s="6">
        <v>970</v>
      </c>
      <c r="D20" s="6"/>
      <c r="F20" s="6">
        <f>[1]Prepayments!C9</f>
        <v>0</v>
      </c>
      <c r="G20" s="6"/>
      <c r="I20" s="6">
        <f>[1]Prepayments!C17</f>
        <v>1660</v>
      </c>
      <c r="J20" s="6"/>
      <c r="L20" s="6">
        <f>[1]Prepayments!C54</f>
        <v>2423.7900000000004</v>
      </c>
      <c r="O20" s="6">
        <f>[1]Prepayments!C65</f>
        <v>462.00000000000045</v>
      </c>
      <c r="R20">
        <f>958-1</f>
        <v>957</v>
      </c>
      <c r="T20" t="s">
        <v>91</v>
      </c>
      <c r="U20">
        <v>300</v>
      </c>
      <c r="V20" s="6">
        <f>O20+U20</f>
        <v>762.00000000000045</v>
      </c>
    </row>
    <row r="21" spans="1:23" hidden="1" x14ac:dyDescent="0.3">
      <c r="A21" t="s">
        <v>67</v>
      </c>
      <c r="C21" s="6"/>
      <c r="D21" s="6"/>
      <c r="F21" s="6"/>
      <c r="G21" s="6"/>
      <c r="I21" s="6"/>
      <c r="J21" s="6"/>
      <c r="L21" s="6"/>
      <c r="O21" s="6"/>
      <c r="V21" s="6"/>
    </row>
    <row r="22" spans="1:23" hidden="1" x14ac:dyDescent="0.3">
      <c r="A22" t="s">
        <v>68</v>
      </c>
      <c r="C22" s="6"/>
      <c r="D22" s="6"/>
      <c r="F22" s="6"/>
      <c r="G22" s="6"/>
      <c r="I22" s="6"/>
      <c r="J22" s="6"/>
      <c r="L22" s="6"/>
      <c r="O22" s="6"/>
      <c r="V22" s="6"/>
    </row>
    <row r="23" spans="1:23" x14ac:dyDescent="0.3">
      <c r="A23" t="s">
        <v>69</v>
      </c>
      <c r="C23" s="6"/>
      <c r="D23" s="6">
        <v>1975</v>
      </c>
      <c r="F23" s="6"/>
      <c r="G23" s="6">
        <f>[1]Accruals!D12</f>
        <v>190</v>
      </c>
      <c r="I23" s="6"/>
      <c r="J23" s="6"/>
      <c r="L23" s="6"/>
      <c r="O23" s="6"/>
      <c r="V23" s="6"/>
    </row>
    <row r="24" spans="1:23" x14ac:dyDescent="0.3">
      <c r="A24" t="s">
        <v>70</v>
      </c>
      <c r="C24" s="6"/>
      <c r="F24" s="6"/>
      <c r="I24" s="6">
        <f>[1]Accruals!C17</f>
        <v>2000</v>
      </c>
      <c r="L24" s="6">
        <f>[1]Accruals!C22</f>
        <v>2000</v>
      </c>
      <c r="O24" s="6">
        <f>[1]Accruals!C25</f>
        <v>0</v>
      </c>
      <c r="V24" s="6">
        <f>[1]Accruals!G25</f>
        <v>0</v>
      </c>
    </row>
    <row r="25" spans="1:23" x14ac:dyDescent="0.3">
      <c r="A25" t="s">
        <v>71</v>
      </c>
      <c r="C25" s="6"/>
      <c r="D25" s="6">
        <v>2000</v>
      </c>
      <c r="F25" s="6"/>
      <c r="G25" s="6">
        <f>'[1]Tim Franey'!D6</f>
        <v>2000</v>
      </c>
      <c r="I25" s="6"/>
      <c r="J25" s="6">
        <f>'[1]Tim Franey'!D14</f>
        <v>2500</v>
      </c>
      <c r="M25" s="6">
        <f>'[1]Tim Franey'!D18</f>
        <v>2650</v>
      </c>
      <c r="P25" s="6">
        <f>'[1]Tim Franey'!D21</f>
        <v>1250</v>
      </c>
      <c r="Q25" s="6"/>
      <c r="R25" s="6"/>
      <c r="S25" s="6">
        <v>1250</v>
      </c>
      <c r="T25" t="s">
        <v>89</v>
      </c>
      <c r="U25">
        <v>1393</v>
      </c>
      <c r="W25" s="6">
        <f>P25-U25</f>
        <v>-143</v>
      </c>
    </row>
    <row r="26" spans="1:23" x14ac:dyDescent="0.3">
      <c r="C26" s="7">
        <f>SUM(C4:C25)</f>
        <v>15105.640000000001</v>
      </c>
      <c r="D26" s="7">
        <f>SUM(D4:D25)</f>
        <v>15105.78</v>
      </c>
      <c r="F26" s="7">
        <f>SUM(F4:F25)</f>
        <v>12467.659999999998</v>
      </c>
      <c r="G26" s="7">
        <f>SUM(G4:G25)</f>
        <v>12467.61</v>
      </c>
      <c r="I26" s="7">
        <f>SUM(I4:I25)</f>
        <v>12412.769999999999</v>
      </c>
      <c r="J26" s="7">
        <f>SUM(J4:J25)</f>
        <v>12412.720000000001</v>
      </c>
      <c r="L26" s="7">
        <f>SUM(L4:L25)</f>
        <v>12600.819999999994</v>
      </c>
      <c r="M26" s="7">
        <f>SUM(M4:M25)</f>
        <v>12600.77</v>
      </c>
      <c r="O26" s="7">
        <f>SUM(O4:O25)+1</f>
        <v>10588.13999999999</v>
      </c>
      <c r="P26" s="7">
        <f>SUM(P4:P25)</f>
        <v>10588.490000000002</v>
      </c>
      <c r="Q26" s="7"/>
      <c r="R26" s="7">
        <f>SUM(R4:R25)+1</f>
        <v>9896</v>
      </c>
      <c r="S26" s="7">
        <f>SUM(S4:S25)</f>
        <v>9896</v>
      </c>
      <c r="U26" s="7">
        <f>SUM(U4:U25)</f>
        <v>0</v>
      </c>
      <c r="V26" s="7">
        <f>SUM(V4:V25)</f>
        <v>9193.9199999999983</v>
      </c>
      <c r="W26" s="7">
        <f>SUM(W4:W25)</f>
        <v>9195</v>
      </c>
    </row>
    <row r="27" spans="1:23" hidden="1" x14ac:dyDescent="0.3">
      <c r="B27" s="3" t="e">
        <f>#REF!-#REF!</f>
        <v>#REF!</v>
      </c>
      <c r="C27" s="6"/>
      <c r="D27" s="6"/>
      <c r="E27" s="3"/>
      <c r="F27" s="6"/>
      <c r="G27" s="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V27" s="3"/>
      <c r="W27" s="3"/>
    </row>
    <row r="28" spans="1:23" x14ac:dyDescent="0.3">
      <c r="C28" s="6"/>
      <c r="D28" s="6"/>
      <c r="F28" s="6"/>
      <c r="G28" s="6"/>
      <c r="J28" s="6">
        <f>J26-I26</f>
        <v>-4.9999999997453415E-2</v>
      </c>
      <c r="M28" s="6">
        <f>M26-L26</f>
        <v>-4.9999999993815436E-2</v>
      </c>
      <c r="P28" s="6">
        <f>P26-O26</f>
        <v>0.35000000001127773</v>
      </c>
      <c r="Q28" s="6"/>
      <c r="S28" s="6">
        <f>S26-R26</f>
        <v>0</v>
      </c>
      <c r="W28" s="6">
        <f>W26-V26</f>
        <v>1.0800000000017462</v>
      </c>
    </row>
    <row r="29" spans="1:23" x14ac:dyDescent="0.3">
      <c r="C29" s="6"/>
      <c r="D29" s="6"/>
      <c r="F29" s="6"/>
      <c r="G29" s="6"/>
    </row>
  </sheetData>
  <pageMargins left="0.27559055118110237" right="0.19685039370078741" top="0.74803149606299213" bottom="0.74803149606299213" header="0.31496062992125984" footer="0.31496062992125984"/>
  <pageSetup paperSize="9" orientation="landscape" r:id="rId1"/>
  <headerFooter>
    <oddHeader>&amp;COAGS
Balance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029D-1914-4A54-B074-A607DEEBC8F5}">
  <sheetPr>
    <pageSetUpPr fitToPage="1"/>
  </sheetPr>
  <dimension ref="A1:AE55"/>
  <sheetViews>
    <sheetView tabSelected="1" topLeftCell="A7" zoomScaleNormal="100" workbookViewId="0">
      <selection activeCell="AC9" sqref="AC9"/>
    </sheetView>
  </sheetViews>
  <sheetFormatPr defaultRowHeight="14.4" x14ac:dyDescent="0.3"/>
  <cols>
    <col min="1" max="1" width="40.77734375" customWidth="1"/>
    <col min="2" max="3" width="0" hidden="1" customWidth="1"/>
    <col min="4" max="4" width="2.109375" hidden="1" customWidth="1"/>
    <col min="5" max="6" width="0" hidden="1" customWidth="1"/>
    <col min="7" max="7" width="2.33203125" customWidth="1"/>
    <col min="8" max="8" width="47.44140625" hidden="1" customWidth="1"/>
    <col min="9" max="9" width="8.6640625" hidden="1" customWidth="1"/>
    <col min="10" max="10" width="8.44140625" hidden="1" customWidth="1"/>
    <col min="11" max="11" width="3.33203125" hidden="1" customWidth="1"/>
    <col min="12" max="13" width="9.109375" hidden="1" customWidth="1"/>
    <col min="14" max="14" width="3.88671875" hidden="1" customWidth="1"/>
    <col min="15" max="15" width="8.77734375" hidden="1" customWidth="1"/>
    <col min="16" max="16" width="8.44140625" hidden="1" customWidth="1"/>
    <col min="17" max="17" width="3.88671875" hidden="1" customWidth="1"/>
    <col min="18" max="18" width="9.33203125" customWidth="1"/>
    <col min="19" max="19" width="11.109375" customWidth="1"/>
    <col min="20" max="20" width="3.88671875" customWidth="1"/>
    <col min="21" max="21" width="9.33203125" hidden="1" customWidth="1"/>
    <col min="22" max="22" width="11.109375" hidden="1" customWidth="1"/>
    <col min="23" max="24" width="0" hidden="1" customWidth="1"/>
    <col min="25" max="25" width="9.33203125" customWidth="1"/>
    <col min="26" max="26" width="11.109375" customWidth="1"/>
    <col min="27" max="27" width="3.88671875" customWidth="1"/>
    <col min="28" max="29" width="11.109375" customWidth="1"/>
    <col min="30" max="30" width="48.44140625" customWidth="1"/>
  </cols>
  <sheetData>
    <row r="1" spans="1:30" x14ac:dyDescent="0.3">
      <c r="B1" s="1" t="s">
        <v>0</v>
      </c>
      <c r="C1" s="1" t="s">
        <v>1</v>
      </c>
      <c r="D1" s="1"/>
      <c r="E1" s="1" t="s">
        <v>0</v>
      </c>
      <c r="F1" s="1" t="s">
        <v>1</v>
      </c>
      <c r="I1" s="1" t="s">
        <v>2</v>
      </c>
      <c r="J1" s="1" t="s">
        <v>3</v>
      </c>
      <c r="L1" s="1" t="s">
        <v>2</v>
      </c>
      <c r="M1" s="1" t="s">
        <v>3</v>
      </c>
      <c r="O1" s="1" t="s">
        <v>2</v>
      </c>
      <c r="P1" s="1" t="s">
        <v>3</v>
      </c>
      <c r="R1" s="1" t="s">
        <v>2</v>
      </c>
      <c r="S1" s="1" t="s">
        <v>3</v>
      </c>
      <c r="U1" s="1" t="s">
        <v>2</v>
      </c>
      <c r="V1" s="1" t="s">
        <v>3</v>
      </c>
      <c r="X1" s="1" t="s">
        <v>73</v>
      </c>
      <c r="Y1" s="1" t="s">
        <v>2</v>
      </c>
      <c r="Z1" s="1" t="s">
        <v>3</v>
      </c>
      <c r="AA1" s="1"/>
      <c r="AB1" s="1" t="s">
        <v>2</v>
      </c>
      <c r="AC1" s="1" t="s">
        <v>3</v>
      </c>
    </row>
    <row r="2" spans="1:30" x14ac:dyDescent="0.3">
      <c r="B2" s="2">
        <v>2016</v>
      </c>
      <c r="C2" s="2">
        <v>2016</v>
      </c>
      <c r="D2" s="2"/>
      <c r="E2" s="2">
        <v>2017</v>
      </c>
      <c r="F2" s="2">
        <v>2017</v>
      </c>
      <c r="I2" s="2">
        <v>2020</v>
      </c>
      <c r="J2" s="2">
        <v>2020</v>
      </c>
      <c r="L2" s="2">
        <v>2021</v>
      </c>
      <c r="M2" s="2">
        <v>2021</v>
      </c>
      <c r="O2" s="2">
        <v>2022</v>
      </c>
      <c r="P2" s="2">
        <v>2022</v>
      </c>
      <c r="R2" s="2">
        <v>2023</v>
      </c>
      <c r="S2" s="2">
        <v>2023</v>
      </c>
      <c r="U2" s="2">
        <v>2024</v>
      </c>
      <c r="V2" s="2">
        <v>2024</v>
      </c>
      <c r="Y2" s="2">
        <v>2024</v>
      </c>
      <c r="Z2" s="2">
        <v>2024</v>
      </c>
      <c r="AA2" s="2"/>
      <c r="AB2" s="2">
        <v>2025</v>
      </c>
      <c r="AC2" s="2">
        <v>2025</v>
      </c>
    </row>
    <row r="3" spans="1:30" x14ac:dyDescent="0.3">
      <c r="A3" t="s">
        <v>4</v>
      </c>
      <c r="C3" s="3" t="e">
        <f>#REF!+'[1]SGB ac'!#REF!+'[1]SGB ac'!#REF!+'[1]SGB ac'!#REF!+65</f>
        <v>#REF!</v>
      </c>
      <c r="E3" s="3"/>
      <c r="F3" s="3" t="e">
        <f>#REF!*-1</f>
        <v>#REF!</v>
      </c>
      <c r="H3" t="s">
        <v>5</v>
      </c>
      <c r="J3" s="3">
        <v>2645</v>
      </c>
      <c r="M3" s="3">
        <f>('[1]Cash Book 2020-21'!I113)*-1</f>
        <v>2605</v>
      </c>
      <c r="O3" s="3"/>
      <c r="P3" s="3">
        <f>SUM('[1]Cash Book 2021-22'!I231)*-1</f>
        <v>2855</v>
      </c>
      <c r="R3" s="6"/>
      <c r="S3" s="6">
        <f>SUM('[1]Cash Book 2022-23'!I241)*-1</f>
        <v>2575</v>
      </c>
      <c r="T3" s="6"/>
      <c r="U3" s="6"/>
      <c r="V3" s="6">
        <f>'[1]Cash Book 2023-24'!I248*-1</f>
        <v>2698</v>
      </c>
      <c r="W3" s="6"/>
      <c r="X3" s="6"/>
      <c r="Y3" s="6"/>
      <c r="Z3" s="6">
        <v>2698</v>
      </c>
      <c r="AA3" s="3"/>
      <c r="AB3" s="6"/>
      <c r="AC3" s="6">
        <v>2790</v>
      </c>
      <c r="AD3" t="s">
        <v>6</v>
      </c>
    </row>
    <row r="4" spans="1:30" x14ac:dyDescent="0.3">
      <c r="A4" t="s">
        <v>92</v>
      </c>
      <c r="C4" s="3">
        <v>0</v>
      </c>
      <c r="E4" s="3"/>
      <c r="F4" s="3"/>
      <c r="R4" s="6"/>
      <c r="S4" s="6"/>
      <c r="T4" s="6"/>
      <c r="U4" s="6"/>
      <c r="V4" s="6"/>
      <c r="W4" s="6"/>
      <c r="X4" s="6"/>
      <c r="Y4" s="6"/>
      <c r="Z4" s="6"/>
      <c r="AB4" s="6"/>
      <c r="AC4" s="6">
        <f>2018+608</f>
        <v>2626</v>
      </c>
      <c r="AD4" t="s">
        <v>109</v>
      </c>
    </row>
    <row r="5" spans="1:30" x14ac:dyDescent="0.3">
      <c r="A5" t="s">
        <v>7</v>
      </c>
      <c r="C5" s="3" t="e">
        <f>#REF!</f>
        <v>#REF!</v>
      </c>
      <c r="E5" s="3"/>
      <c r="F5" s="3" t="e">
        <f>#REF!*-1</f>
        <v>#REF!</v>
      </c>
      <c r="J5" s="3">
        <v>1000</v>
      </c>
      <c r="L5" s="3"/>
      <c r="M5" s="3">
        <f>('[1]Cash Book 2020-21'!P113)*-1</f>
        <v>1000</v>
      </c>
      <c r="P5" s="3">
        <f>[1]Accruals!C15</f>
        <v>2000</v>
      </c>
      <c r="R5" s="6"/>
      <c r="S5" s="6">
        <f>[1]Accruals!C20</f>
        <v>2000</v>
      </c>
      <c r="T5" s="6"/>
      <c r="U5" s="6"/>
      <c r="V5" s="6">
        <f>SUM('[1]Cash Book 2023-24'!AD248)*-1</f>
        <v>2600</v>
      </c>
      <c r="W5" s="6"/>
      <c r="X5" s="6"/>
      <c r="Y5" s="6"/>
      <c r="Z5" s="6">
        <v>2600</v>
      </c>
      <c r="AA5" s="3"/>
      <c r="AB5" s="6"/>
      <c r="AC5" s="6">
        <v>3000</v>
      </c>
      <c r="AD5" t="s">
        <v>8</v>
      </c>
    </row>
    <row r="6" spans="1:30" x14ac:dyDescent="0.3">
      <c r="A6" t="s">
        <v>9</v>
      </c>
      <c r="C6" s="3">
        <f>'[1]Savings ac'!C19+'[1]Savings ac'!C21+'[1]Savings ac'!C25</f>
        <v>23.479999999999997</v>
      </c>
      <c r="E6" s="3"/>
      <c r="F6" s="3">
        <f>'[1]Savings ac'!C28</f>
        <v>9.69</v>
      </c>
      <c r="H6" t="s">
        <v>10</v>
      </c>
      <c r="J6">
        <f>'[1]Savings ac'!E53</f>
        <v>17.75</v>
      </c>
      <c r="M6">
        <f>'[1]Savings ac'!C56</f>
        <v>0.56999999999999995</v>
      </c>
      <c r="P6">
        <f>'[1]Savings ac'!C60+'[1]Savings ac'!C62</f>
        <v>3.1100000000000003</v>
      </c>
      <c r="R6" s="6"/>
      <c r="S6" s="6">
        <f>'[1]Savings ac'!E68</f>
        <v>40.33</v>
      </c>
      <c r="T6" s="6"/>
      <c r="U6" s="6"/>
      <c r="V6" s="6">
        <f>'[1]Savings ac'!E76</f>
        <v>78.02</v>
      </c>
      <c r="W6" s="6"/>
      <c r="X6" s="6"/>
      <c r="Y6" s="6"/>
      <c r="Z6" s="6">
        <v>78.02</v>
      </c>
      <c r="AB6" s="6"/>
      <c r="AC6" s="6">
        <v>74</v>
      </c>
      <c r="AD6" t="s">
        <v>100</v>
      </c>
    </row>
    <row r="7" spans="1:30" x14ac:dyDescent="0.3">
      <c r="A7" t="s">
        <v>95</v>
      </c>
      <c r="C7" s="3" t="e">
        <f>#REF!</f>
        <v>#REF!</v>
      </c>
      <c r="E7" s="3"/>
      <c r="F7" s="3" t="e">
        <f>#REF!*-1</f>
        <v>#REF!</v>
      </c>
      <c r="H7" t="s">
        <v>11</v>
      </c>
      <c r="J7" s="3">
        <v>149.5</v>
      </c>
      <c r="M7" s="3">
        <v>0</v>
      </c>
      <c r="P7" s="3">
        <f>SUM('[1]Cash Book 2021-22'!P231)*-1</f>
        <v>208.40000000000009</v>
      </c>
      <c r="R7" s="6"/>
      <c r="S7" s="6"/>
      <c r="T7" s="6"/>
      <c r="U7" s="6"/>
      <c r="V7" s="6"/>
      <c r="W7" s="6"/>
      <c r="X7" s="6"/>
      <c r="Y7" s="6"/>
      <c r="Z7" s="6"/>
      <c r="AB7" s="6"/>
      <c r="AC7" s="6">
        <f>903-608</f>
        <v>295</v>
      </c>
      <c r="AD7" t="s">
        <v>12</v>
      </c>
    </row>
    <row r="8" spans="1:30" hidden="1" x14ac:dyDescent="0.3">
      <c r="A8" t="s">
        <v>13</v>
      </c>
      <c r="B8" s="3" t="e">
        <f>#REF!*-1</f>
        <v>#REF!</v>
      </c>
      <c r="E8" s="3" t="e">
        <f>#REF!</f>
        <v>#REF!</v>
      </c>
      <c r="F8" s="3"/>
      <c r="H8" t="s">
        <v>14</v>
      </c>
      <c r="I8" s="3">
        <v>0</v>
      </c>
      <c r="L8" s="3">
        <v>0</v>
      </c>
      <c r="R8" s="6"/>
      <c r="S8" s="6"/>
      <c r="T8" s="6"/>
      <c r="U8" s="6"/>
      <c r="V8" s="6"/>
      <c r="W8" s="6"/>
      <c r="X8" s="6"/>
      <c r="Y8" s="6"/>
      <c r="Z8" s="6"/>
      <c r="AB8" s="6"/>
      <c r="AC8" s="6"/>
    </row>
    <row r="9" spans="1:30" x14ac:dyDescent="0.3">
      <c r="A9" t="s">
        <v>15</v>
      </c>
      <c r="B9" s="3" t="e">
        <f>#REF!*-1</f>
        <v>#REF!</v>
      </c>
      <c r="C9" s="3"/>
      <c r="E9" s="3" t="e">
        <f>#REF!</f>
        <v>#REF!</v>
      </c>
      <c r="F9" s="3"/>
      <c r="I9" s="3">
        <v>25</v>
      </c>
      <c r="L9" s="3">
        <f>'[1]Cash Book 2020-21'!M113</f>
        <v>25</v>
      </c>
      <c r="O9" s="3">
        <f>'[1]Cash Book 2021-22'!R231</f>
        <v>25</v>
      </c>
      <c r="R9" s="6">
        <f>'[1]Cash Book 2022-23'!R241</f>
        <v>25</v>
      </c>
      <c r="S9" s="6"/>
      <c r="T9" s="6"/>
      <c r="U9" s="6">
        <f>'[1]Cash Book 2023-24'!T248</f>
        <v>25</v>
      </c>
      <c r="V9" s="6"/>
      <c r="W9" s="6"/>
      <c r="X9" s="6"/>
      <c r="Y9" s="6">
        <v>25</v>
      </c>
      <c r="Z9" s="6"/>
      <c r="AB9" s="6">
        <v>25</v>
      </c>
      <c r="AC9" s="6"/>
      <c r="AD9" t="s">
        <v>16</v>
      </c>
    </row>
    <row r="10" spans="1:30" x14ac:dyDescent="0.3">
      <c r="A10" t="s">
        <v>17</v>
      </c>
      <c r="B10" s="3" t="e">
        <f>#REF!*-1</f>
        <v>#REF!</v>
      </c>
      <c r="E10" s="3" t="e">
        <f>#REF!</f>
        <v>#REF!</v>
      </c>
      <c r="F10" s="3"/>
      <c r="I10" s="3">
        <v>0</v>
      </c>
      <c r="L10" s="3">
        <f>[1]Prepayments!D7</f>
        <v>970</v>
      </c>
      <c r="O10" s="3">
        <f>'[1]Cash Book 2021-22'!S231</f>
        <v>990</v>
      </c>
      <c r="R10" s="6">
        <f>'[1]Cash Book 2022-23'!S241</f>
        <v>1540</v>
      </c>
      <c r="S10" s="6"/>
      <c r="T10" s="6"/>
      <c r="U10" s="6">
        <f>'[1]Cash Book 2023-24'!U248</f>
        <v>1600</v>
      </c>
      <c r="V10" s="6"/>
      <c r="W10" s="6"/>
      <c r="X10" s="6"/>
      <c r="Y10" s="6">
        <v>1600</v>
      </c>
      <c r="Z10" s="6"/>
      <c r="AB10" s="6">
        <v>1260</v>
      </c>
      <c r="AC10" s="6"/>
      <c r="AD10" t="s">
        <v>101</v>
      </c>
    </row>
    <row r="11" spans="1:30" x14ac:dyDescent="0.3">
      <c r="A11" t="s">
        <v>18</v>
      </c>
      <c r="B11" s="3" t="e">
        <f>#REF!*-1</f>
        <v>#REF!</v>
      </c>
      <c r="E11" s="3" t="e">
        <f>#REF!</f>
        <v>#REF!</v>
      </c>
      <c r="F11" s="3"/>
      <c r="H11" t="s">
        <v>19</v>
      </c>
      <c r="I11" s="3">
        <v>0</v>
      </c>
      <c r="L11" s="3">
        <f>'[1]HH Accom'!C16</f>
        <v>1120</v>
      </c>
      <c r="O11" s="3">
        <f>'[1]Cash Book 2021-22'!J231</f>
        <v>1115</v>
      </c>
      <c r="R11" s="6">
        <f>'[1]Cash Book 2022-23'!J241</f>
        <v>860</v>
      </c>
      <c r="S11" s="6"/>
      <c r="T11" s="6"/>
      <c r="U11" s="6"/>
      <c r="V11" s="6"/>
      <c r="W11" s="6"/>
      <c r="X11" s="6">
        <v>-1403.21</v>
      </c>
      <c r="Y11" s="6">
        <v>0</v>
      </c>
      <c r="Z11" s="6"/>
      <c r="AB11" s="6"/>
      <c r="AC11" s="6"/>
      <c r="AD11" t="s">
        <v>76</v>
      </c>
    </row>
    <row r="12" spans="1:30" x14ac:dyDescent="0.3">
      <c r="A12" t="s">
        <v>20</v>
      </c>
      <c r="B12" s="3" t="e">
        <f>#REF!*-1</f>
        <v>#REF!</v>
      </c>
      <c r="E12" s="3" t="e">
        <f>#REF!</f>
        <v>#REF!</v>
      </c>
      <c r="F12" s="3"/>
      <c r="I12" s="3">
        <v>0</v>
      </c>
      <c r="L12" s="3">
        <f>'[1]Savings ac'!D57</f>
        <v>700</v>
      </c>
      <c r="O12" s="3">
        <f>'[1]Cash Book 2021-22'!L231</f>
        <v>795</v>
      </c>
      <c r="R12" s="6">
        <f>'[1]Cash Book 2022-23'!L241</f>
        <v>785</v>
      </c>
      <c r="S12" s="6"/>
      <c r="T12" s="6"/>
      <c r="U12" s="6">
        <f>'[1]Cash Book 2023-24'!N248</f>
        <v>830</v>
      </c>
      <c r="V12" s="6"/>
      <c r="W12" s="6"/>
      <c r="X12" s="6"/>
      <c r="Y12" s="6">
        <v>830</v>
      </c>
      <c r="Z12" s="6"/>
      <c r="AA12" s="3"/>
      <c r="AB12" s="6">
        <f>905</f>
        <v>905</v>
      </c>
      <c r="AC12" s="6"/>
      <c r="AD12" t="s">
        <v>75</v>
      </c>
    </row>
    <row r="13" spans="1:30" x14ac:dyDescent="0.3">
      <c r="A13" t="s">
        <v>21</v>
      </c>
      <c r="B13" s="3" t="e">
        <f>#REF!*-1</f>
        <v>#REF!</v>
      </c>
      <c r="C13" s="3"/>
      <c r="E13" s="3" t="e">
        <f>#REF!</f>
        <v>#REF!</v>
      </c>
      <c r="F13" s="3"/>
      <c r="I13" s="3">
        <v>0</v>
      </c>
      <c r="L13" s="3">
        <f>'[1]Cash Book 2020-21'!O113</f>
        <v>135</v>
      </c>
      <c r="R13" s="6">
        <f>'[1]Cash Book 2022-23'!T241</f>
        <v>141</v>
      </c>
      <c r="S13" s="6"/>
      <c r="T13" s="6"/>
      <c r="U13" s="6">
        <f>'[1]Cash Book 2023-24'!V248</f>
        <v>145</v>
      </c>
      <c r="V13" s="6"/>
      <c r="W13" s="6"/>
      <c r="X13" s="6"/>
      <c r="Y13" s="6">
        <v>145</v>
      </c>
      <c r="Z13" s="6"/>
      <c r="AB13" s="6">
        <v>150</v>
      </c>
      <c r="AC13" s="6"/>
    </row>
    <row r="14" spans="1:30" x14ac:dyDescent="0.3">
      <c r="A14" t="s">
        <v>22</v>
      </c>
      <c r="B14" s="3" t="e">
        <f>'[1]Duncan A'!#REF!</f>
        <v>#REF!</v>
      </c>
      <c r="E14" s="3" t="e">
        <f>#REF!</f>
        <v>#REF!</v>
      </c>
      <c r="F14" s="3"/>
      <c r="I14" s="3">
        <v>0</v>
      </c>
      <c r="L14" s="3">
        <f>'[1]Cash Book 2020-21'!Q113</f>
        <v>250</v>
      </c>
      <c r="O14" s="3">
        <f>'[1]Cash Book 2021-22'!V231</f>
        <v>250</v>
      </c>
      <c r="R14" s="6">
        <f>'[1]Cash Book 2022-23'!V241</f>
        <v>1125.58</v>
      </c>
      <c r="S14" s="6"/>
      <c r="T14" s="6"/>
      <c r="U14" s="6">
        <f>'[1]GM fee &amp; accom'!C15*-1</f>
        <v>1443.58</v>
      </c>
      <c r="V14" s="6"/>
      <c r="W14" s="6"/>
      <c r="X14" s="6">
        <v>-300</v>
      </c>
      <c r="Y14" s="6">
        <f>U14+X14</f>
        <v>1143.58</v>
      </c>
      <c r="Z14" s="6"/>
      <c r="AA14" s="3"/>
      <c r="AB14" s="6">
        <v>630</v>
      </c>
      <c r="AC14" s="6"/>
      <c r="AD14" t="s">
        <v>74</v>
      </c>
    </row>
    <row r="15" spans="1:30" x14ac:dyDescent="0.3">
      <c r="A15" t="s">
        <v>23</v>
      </c>
      <c r="B15" s="3" t="e">
        <f>SUM(#REF!*-1)+'[1]SGB ac'!#REF!*-1+'[1]SGB ac'!#REF!</f>
        <v>#REF!</v>
      </c>
      <c r="E15" s="3" t="e">
        <f>#REF!</f>
        <v>#REF!</v>
      </c>
      <c r="F15" s="3"/>
      <c r="H15" t="s">
        <v>24</v>
      </c>
      <c r="I15" s="3">
        <v>446.42</v>
      </c>
      <c r="L15" s="3">
        <f>'[1]Match sub'!C8</f>
        <v>364.46</v>
      </c>
      <c r="O15" s="3">
        <f>O48</f>
        <v>1750.46</v>
      </c>
      <c r="R15" s="6">
        <f>R48</f>
        <v>1176.0299999999997</v>
      </c>
      <c r="S15" s="6"/>
      <c r="T15" s="6"/>
      <c r="U15" s="6">
        <f>U48</f>
        <v>2795.46</v>
      </c>
      <c r="V15" s="6"/>
      <c r="W15" s="6"/>
      <c r="X15" s="6"/>
      <c r="Y15" s="6">
        <f>Y48</f>
        <v>2794.06</v>
      </c>
      <c r="Z15" s="6"/>
      <c r="AA15" s="3"/>
      <c r="AB15" s="6">
        <f>AB48</f>
        <v>3703</v>
      </c>
      <c r="AC15" s="6"/>
      <c r="AD15" t="s">
        <v>25</v>
      </c>
    </row>
    <row r="16" spans="1:30" x14ac:dyDescent="0.3">
      <c r="A16" t="s">
        <v>26</v>
      </c>
      <c r="C16" s="3" t="e">
        <f>#REF!+#REF!</f>
        <v>#REF!</v>
      </c>
      <c r="E16" s="3"/>
      <c r="F16" s="3"/>
      <c r="I16" s="3">
        <v>0</v>
      </c>
      <c r="L16" s="3">
        <f>'[1]Cash Book 2020-21'!V113</f>
        <v>120</v>
      </c>
      <c r="M16" s="3"/>
      <c r="O16" s="3">
        <f>'[1]Cash Book 2021-22'!AA231</f>
        <v>20</v>
      </c>
      <c r="R16" s="6"/>
      <c r="S16" s="6"/>
      <c r="T16" s="6"/>
      <c r="U16" s="6"/>
      <c r="V16" s="6"/>
      <c r="W16" s="6"/>
      <c r="X16" s="6"/>
      <c r="Y16" s="6"/>
      <c r="Z16" s="6"/>
      <c r="AB16" s="6">
        <v>130</v>
      </c>
      <c r="AC16" s="6"/>
    </row>
    <row r="17" spans="1:31" x14ac:dyDescent="0.3">
      <c r="A17" t="s">
        <v>27</v>
      </c>
      <c r="B17" s="3"/>
      <c r="E17" s="3" t="e">
        <f>#REF!</f>
        <v>#REF!</v>
      </c>
      <c r="H17" t="s">
        <v>28</v>
      </c>
      <c r="I17" s="3">
        <v>0</v>
      </c>
      <c r="M17" s="3">
        <f>('[1]Cash Book 2020-21'!X113)*-1</f>
        <v>20</v>
      </c>
      <c r="P17" s="3">
        <f>SUM('[1]Cash Book 2021-22'!AC231)*-1</f>
        <v>205</v>
      </c>
      <c r="R17" s="6"/>
      <c r="S17" s="6">
        <f>SUM('[1]Cash Book 2022-23'!AC241)*-1</f>
        <v>180</v>
      </c>
      <c r="T17" s="6"/>
      <c r="U17" s="6"/>
      <c r="V17" s="6">
        <f>'[1]Cash Book 2023-24'!AF248*-1</f>
        <v>40</v>
      </c>
      <c r="W17" s="6"/>
      <c r="X17" s="6">
        <v>471</v>
      </c>
      <c r="Y17" s="6">
        <f>X17</f>
        <v>471</v>
      </c>
      <c r="Z17" s="6">
        <v>40</v>
      </c>
      <c r="AA17" s="3"/>
      <c r="AB17" s="6"/>
      <c r="AC17" s="6">
        <v>85</v>
      </c>
      <c r="AD17" t="s">
        <v>102</v>
      </c>
    </row>
    <row r="18" spans="1:31" x14ac:dyDescent="0.3">
      <c r="A18" t="s">
        <v>96</v>
      </c>
      <c r="B18" s="3"/>
      <c r="E18" s="3"/>
      <c r="I18" s="3"/>
      <c r="M18" s="3"/>
      <c r="P18" s="3"/>
      <c r="R18" s="6"/>
      <c r="S18" s="6"/>
      <c r="T18" s="6"/>
      <c r="U18" s="6"/>
      <c r="V18" s="6"/>
      <c r="W18" s="6"/>
      <c r="X18" s="6"/>
      <c r="Y18" s="6"/>
      <c r="Z18" s="6"/>
      <c r="AA18" s="3"/>
      <c r="AB18" s="6">
        <v>171</v>
      </c>
      <c r="AC18" s="6"/>
    </row>
    <row r="19" spans="1:31" x14ac:dyDescent="0.3">
      <c r="A19" t="s">
        <v>97</v>
      </c>
      <c r="B19" s="3"/>
      <c r="E19" s="3"/>
      <c r="I19" s="3"/>
      <c r="M19" s="3"/>
      <c r="P19" s="3"/>
      <c r="R19" s="6"/>
      <c r="S19" s="6"/>
      <c r="T19" s="6"/>
      <c r="U19" s="6"/>
      <c r="V19" s="6"/>
      <c r="W19" s="6"/>
      <c r="X19" s="6"/>
      <c r="Y19" s="6"/>
      <c r="Z19" s="6"/>
      <c r="AA19" s="3"/>
      <c r="AB19" s="6">
        <v>720</v>
      </c>
      <c r="AC19" s="6"/>
      <c r="AD19" t="s">
        <v>103</v>
      </c>
    </row>
    <row r="20" spans="1:31" x14ac:dyDescent="0.3">
      <c r="A20" t="s">
        <v>94</v>
      </c>
      <c r="B20" s="3"/>
      <c r="E20" s="3"/>
      <c r="I20" s="3"/>
      <c r="M20" s="3"/>
      <c r="P20" s="3"/>
      <c r="R20" s="6"/>
      <c r="S20" s="6"/>
      <c r="T20" s="6"/>
      <c r="U20" s="6"/>
      <c r="V20" s="6"/>
      <c r="W20" s="6"/>
      <c r="X20" s="6"/>
      <c r="Y20" s="6"/>
      <c r="Z20" s="6"/>
      <c r="AA20" s="3"/>
      <c r="AB20" s="6">
        <v>770</v>
      </c>
      <c r="AC20" s="6"/>
      <c r="AD20" t="s">
        <v>104</v>
      </c>
    </row>
    <row r="21" spans="1:31" x14ac:dyDescent="0.3">
      <c r="A21" t="s">
        <v>93</v>
      </c>
      <c r="B21" s="3"/>
      <c r="E21" s="3"/>
      <c r="I21" s="3"/>
      <c r="M21" s="3"/>
      <c r="P21" s="3"/>
      <c r="R21" s="6"/>
      <c r="S21" s="6"/>
      <c r="T21" s="6"/>
      <c r="U21" s="6"/>
      <c r="V21" s="6"/>
      <c r="W21" s="6"/>
      <c r="X21" s="6"/>
      <c r="Y21" s="6"/>
      <c r="Z21" s="6"/>
      <c r="AA21" s="3"/>
      <c r="AB21" s="6">
        <v>94</v>
      </c>
      <c r="AC21" s="6"/>
    </row>
    <row r="22" spans="1:31" x14ac:dyDescent="0.3">
      <c r="A22" t="s">
        <v>29</v>
      </c>
      <c r="B22" s="3"/>
      <c r="E22" s="3"/>
      <c r="I22" s="3"/>
      <c r="M22" s="3"/>
      <c r="P22" s="3"/>
      <c r="R22" s="6"/>
      <c r="S22" s="6">
        <f>'[1]Tim Franey'!C16</f>
        <v>600</v>
      </c>
      <c r="T22" s="6"/>
      <c r="U22" s="6"/>
      <c r="V22" s="6"/>
      <c r="W22" s="6"/>
      <c r="X22" s="6">
        <v>-1400</v>
      </c>
      <c r="Y22" s="6"/>
      <c r="Z22" s="6">
        <f>X22*-1</f>
        <v>1400</v>
      </c>
      <c r="AA22" s="3"/>
      <c r="AB22" s="6"/>
      <c r="AC22" s="6">
        <v>0</v>
      </c>
      <c r="AD22" s="8" t="s">
        <v>105</v>
      </c>
    </row>
    <row r="23" spans="1:31" hidden="1" x14ac:dyDescent="0.3">
      <c r="B23" s="3"/>
      <c r="E23" s="3"/>
      <c r="I23" s="3">
        <v>0</v>
      </c>
      <c r="L23" s="3">
        <v>0</v>
      </c>
      <c r="R23" s="6"/>
      <c r="S23" s="6"/>
      <c r="T23" s="6"/>
      <c r="U23" s="6"/>
      <c r="V23" s="6"/>
      <c r="W23" s="6"/>
      <c r="X23" s="6"/>
      <c r="Y23" s="6"/>
      <c r="Z23" s="6"/>
      <c r="AB23" s="6"/>
    </row>
    <row r="24" spans="1:31" x14ac:dyDescent="0.3">
      <c r="A24" t="s">
        <v>30</v>
      </c>
      <c r="B24" s="3" t="e">
        <f>SUM(#REF!*-1)+[1]Prepayments!#REF!</f>
        <v>#REF!</v>
      </c>
      <c r="E24" s="3"/>
      <c r="J24" s="3">
        <v>20</v>
      </c>
      <c r="L24" s="3">
        <v>0</v>
      </c>
      <c r="P24" s="3"/>
      <c r="R24" s="6">
        <f>'[1]Cash Book 2022-23'!AE241</f>
        <v>67</v>
      </c>
      <c r="S24" s="6"/>
      <c r="T24" s="6"/>
      <c r="U24" s="6">
        <f>'[1]Cash Book 2023-24'!W248</f>
        <v>210.29</v>
      </c>
      <c r="V24" s="6"/>
      <c r="W24" s="6"/>
      <c r="X24" s="6"/>
      <c r="Y24" s="6">
        <v>210.29</v>
      </c>
      <c r="Z24" s="6"/>
      <c r="AB24" s="6">
        <v>27</v>
      </c>
      <c r="AC24" s="6"/>
      <c r="AD24" t="s">
        <v>31</v>
      </c>
    </row>
    <row r="25" spans="1:31" x14ac:dyDescent="0.3">
      <c r="A25" t="s">
        <v>32</v>
      </c>
      <c r="B25" s="3"/>
      <c r="C25" s="3"/>
      <c r="F25" s="3" t="e">
        <f>'[1]Duncan A'!#REF!</f>
        <v>#REF!</v>
      </c>
      <c r="I25" s="3">
        <v>4206</v>
      </c>
      <c r="L25" s="3">
        <f>'[1]Cash Book 2020-21'!Y113</f>
        <v>306</v>
      </c>
      <c r="O25" s="3">
        <f>'[1]Cash Book 2021-22'!AD231</f>
        <v>288</v>
      </c>
      <c r="R25" s="6">
        <f>'[1]Cash Book 2022-23'!AD241</f>
        <v>288</v>
      </c>
      <c r="S25" s="6"/>
      <c r="T25" s="6"/>
      <c r="U25" s="6">
        <f>'[1]Cash Book 2023-24'!AG248</f>
        <v>288</v>
      </c>
      <c r="V25" s="6"/>
      <c r="W25" s="6"/>
      <c r="X25" s="6"/>
      <c r="Y25" s="6">
        <v>288</v>
      </c>
      <c r="Z25" s="6"/>
      <c r="AB25" s="6">
        <v>288</v>
      </c>
      <c r="AC25" s="6"/>
      <c r="AD25" t="s">
        <v>33</v>
      </c>
    </row>
    <row r="26" spans="1:31" x14ac:dyDescent="0.3">
      <c r="B26" s="3" t="e">
        <f>SUM(B3:B25)</f>
        <v>#REF!</v>
      </c>
      <c r="C26" s="3" t="e">
        <f>SUM(C3:C25)</f>
        <v>#REF!</v>
      </c>
      <c r="E26" s="3" t="e">
        <f>SUM(E3:E25)</f>
        <v>#REF!</v>
      </c>
      <c r="F26" s="3" t="e">
        <f>SUM(F3:F25)</f>
        <v>#REF!</v>
      </c>
      <c r="I26" s="3">
        <f>SUM(I3:I25)</f>
        <v>4677.42</v>
      </c>
      <c r="J26" s="3">
        <f>SUM(J3:J25)</f>
        <v>3832.25</v>
      </c>
      <c r="L26" s="3">
        <f>SUM(L3:L25)</f>
        <v>3990.46</v>
      </c>
      <c r="M26" s="3">
        <f>SUM(M3:M25)</f>
        <v>3625.57</v>
      </c>
      <c r="O26" s="3">
        <f>SUM(O3:O25)</f>
        <v>5233.46</v>
      </c>
      <c r="P26" s="3">
        <f>SUM(P3:P25)</f>
        <v>5271.51</v>
      </c>
      <c r="R26" s="6">
        <f>SUM(R3:R25)</f>
        <v>6007.61</v>
      </c>
      <c r="S26" s="6">
        <f>SUM(S3:S25)</f>
        <v>5395.33</v>
      </c>
      <c r="T26" s="6"/>
      <c r="U26" s="6">
        <f>SUM(U3:U25)</f>
        <v>7337.33</v>
      </c>
      <c r="V26" s="6">
        <f>SUM(V3:V25)</f>
        <v>5416.02</v>
      </c>
      <c r="W26" s="6"/>
      <c r="X26" s="6"/>
      <c r="Y26" s="6">
        <f>SUM(Y3:Y25)</f>
        <v>7506.9299999999994</v>
      </c>
      <c r="Z26" s="6">
        <f>SUM(Z3:Z25)</f>
        <v>6816.02</v>
      </c>
      <c r="AA26" s="3"/>
      <c r="AB26" s="6">
        <f>SUM(AB3:AB25)</f>
        <v>8873</v>
      </c>
      <c r="AC26" s="6">
        <f>SUM(AC3:AC25)</f>
        <v>8870</v>
      </c>
    </row>
    <row r="27" spans="1:31" x14ac:dyDescent="0.3">
      <c r="A27" s="1" t="s">
        <v>34</v>
      </c>
      <c r="C27" s="3" t="e">
        <f>C26-B26</f>
        <v>#REF!</v>
      </c>
      <c r="F27" s="3" t="e">
        <f>F26-E26</f>
        <v>#REF!</v>
      </c>
      <c r="H27" s="4" t="s">
        <v>35</v>
      </c>
      <c r="J27" s="3">
        <f>J26-I26</f>
        <v>-845.17000000000007</v>
      </c>
      <c r="M27" s="3">
        <f>M26-L26</f>
        <v>-364.88999999999987</v>
      </c>
      <c r="P27" s="3">
        <f>P26-O26</f>
        <v>38.050000000000182</v>
      </c>
      <c r="R27" s="6"/>
      <c r="S27" s="6">
        <f>S26-R26</f>
        <v>-612.27999999999975</v>
      </c>
      <c r="T27" s="6"/>
      <c r="U27" s="6"/>
      <c r="V27" s="6">
        <f>V26-U26</f>
        <v>-1921.3099999999995</v>
      </c>
      <c r="W27" s="6"/>
      <c r="X27" s="6">
        <f>SUM(X3:X26)</f>
        <v>-2632.21</v>
      </c>
      <c r="Y27" s="6"/>
      <c r="Z27" s="6">
        <f>Z26-Y26</f>
        <v>-690.90999999999894</v>
      </c>
      <c r="AA27" s="3"/>
      <c r="AB27" s="6"/>
      <c r="AC27" s="6">
        <f>AC26-AB26</f>
        <v>-3</v>
      </c>
      <c r="AD27" s="2" t="s">
        <v>108</v>
      </c>
    </row>
    <row r="28" spans="1:31" x14ac:dyDescent="0.3">
      <c r="H28" s="4"/>
      <c r="R28" s="6"/>
      <c r="S28" s="6"/>
      <c r="T28" s="6"/>
      <c r="U28" s="6"/>
      <c r="V28" s="6"/>
      <c r="W28" s="6"/>
      <c r="X28" s="6"/>
      <c r="Y28" s="6"/>
      <c r="Z28" s="6"/>
    </row>
    <row r="29" spans="1:31" x14ac:dyDescent="0.3">
      <c r="A29" s="2" t="s">
        <v>36</v>
      </c>
      <c r="H29" s="2"/>
      <c r="R29" s="6"/>
      <c r="S29" s="6"/>
      <c r="T29" s="6"/>
      <c r="U29" s="6"/>
      <c r="V29" s="6"/>
      <c r="W29" s="6"/>
      <c r="X29" s="6"/>
      <c r="Y29" s="6"/>
      <c r="Z29" s="6"/>
      <c r="AD29" t="s">
        <v>77</v>
      </c>
      <c r="AE29">
        <v>1260</v>
      </c>
    </row>
    <row r="30" spans="1:31" x14ac:dyDescent="0.3">
      <c r="A30" t="s">
        <v>37</v>
      </c>
      <c r="O30" s="3">
        <f>'[1]Cash Book 2021-22'!K231-[1]Accruals!C13-[1]Accruals!C14</f>
        <v>232</v>
      </c>
      <c r="R30" s="6">
        <f>'[1]Cash Book 2022-23'!K241</f>
        <v>208</v>
      </c>
      <c r="S30" s="6"/>
      <c r="T30" s="6"/>
      <c r="U30" s="6">
        <f>'[1]Autumn Meet'!C83*-1</f>
        <v>129</v>
      </c>
      <c r="V30" s="6"/>
      <c r="W30" s="6"/>
      <c r="X30" s="6"/>
      <c r="Y30" s="6">
        <v>129</v>
      </c>
      <c r="Z30" s="6"/>
      <c r="AA30" s="3"/>
      <c r="AB30" s="6">
        <f>424+138</f>
        <v>562</v>
      </c>
      <c r="AC30" s="3"/>
      <c r="AD30" t="s">
        <v>78</v>
      </c>
      <c r="AE30">
        <v>905</v>
      </c>
    </row>
    <row r="31" spans="1:31" x14ac:dyDescent="0.3">
      <c r="A31" t="s">
        <v>38</v>
      </c>
      <c r="O31" s="3">
        <f>'[1]Cash Book 2021-22'!M231</f>
        <v>295</v>
      </c>
      <c r="R31" s="6">
        <f>'[1]Cash Book 2022-23'!M241</f>
        <v>532.5</v>
      </c>
      <c r="S31" s="6"/>
      <c r="T31" s="6"/>
      <c r="U31" s="6">
        <f>'[1]Spring Meet '!C83*-1</f>
        <v>-430</v>
      </c>
      <c r="V31" s="6"/>
      <c r="W31" s="6"/>
      <c r="X31" s="6"/>
      <c r="Y31" s="6">
        <v>-430</v>
      </c>
      <c r="Z31" s="6"/>
      <c r="AB31">
        <v>215</v>
      </c>
      <c r="AD31" t="s">
        <v>79</v>
      </c>
      <c r="AE31">
        <v>630</v>
      </c>
    </row>
    <row r="32" spans="1:31" x14ac:dyDescent="0.3">
      <c r="A32" t="s">
        <v>39</v>
      </c>
      <c r="O32" s="3">
        <f>'[1]Cash Book 2021-22'!N231</f>
        <v>216.46000000000004</v>
      </c>
      <c r="R32" s="6">
        <f>'[1]Cash Book 2022-23'!N241</f>
        <v>-212.26</v>
      </c>
      <c r="S32" s="6"/>
      <c r="T32" s="6"/>
      <c r="U32" s="6">
        <f>'[1]NZ Meets'!C112*-1</f>
        <v>51</v>
      </c>
      <c r="V32" s="6"/>
      <c r="W32" s="6"/>
      <c r="X32" s="6"/>
      <c r="Y32" s="6">
        <v>51</v>
      </c>
      <c r="Z32" s="6"/>
      <c r="AB32">
        <v>0</v>
      </c>
      <c r="AD32" t="s">
        <v>80</v>
      </c>
      <c r="AE32">
        <v>150</v>
      </c>
    </row>
    <row r="33" spans="1:31" x14ac:dyDescent="0.3">
      <c r="A33" t="s">
        <v>40</v>
      </c>
      <c r="O33" s="3"/>
      <c r="R33" s="6">
        <f>'[1]Cash Book 2022-23'!Y241</f>
        <v>455</v>
      </c>
      <c r="S33" s="6"/>
      <c r="T33" s="6"/>
      <c r="U33" s="6">
        <f>'[1]NZ Meets'!C131*-1</f>
        <v>35</v>
      </c>
      <c r="V33" s="6"/>
      <c r="W33" s="6"/>
      <c r="X33" s="6"/>
      <c r="Y33" s="6">
        <v>35</v>
      </c>
      <c r="Z33" s="6"/>
      <c r="AB33">
        <v>285</v>
      </c>
      <c r="AD33" s="1" t="s">
        <v>81</v>
      </c>
      <c r="AE33" s="1">
        <f>SUM(AE29:AE32)</f>
        <v>2945</v>
      </c>
    </row>
    <row r="34" spans="1:31" x14ac:dyDescent="0.3">
      <c r="A34" t="s">
        <v>41</v>
      </c>
      <c r="O34" s="3">
        <f>'[1]Cash Book 2021-22'!O231</f>
        <v>223</v>
      </c>
      <c r="R34" s="6">
        <f>'[1]Cash Book 2022-23'!O241</f>
        <v>0</v>
      </c>
      <c r="S34" s="6"/>
      <c r="T34" s="6"/>
      <c r="U34" s="6"/>
      <c r="V34" s="6"/>
      <c r="W34" s="6"/>
      <c r="X34" s="6"/>
      <c r="Y34" s="6"/>
      <c r="Z34" s="6"/>
      <c r="AB34">
        <v>227</v>
      </c>
      <c r="AD34" t="s">
        <v>82</v>
      </c>
      <c r="AE34">
        <v>2790</v>
      </c>
    </row>
    <row r="35" spans="1:31" x14ac:dyDescent="0.3">
      <c r="A35" t="s">
        <v>42</v>
      </c>
      <c r="O35" s="3"/>
      <c r="R35" s="6">
        <f>'[1]Cash Book 2022-23'!Z241</f>
        <v>-215.66000000000008</v>
      </c>
      <c r="S35" s="6"/>
      <c r="T35" s="6"/>
      <c r="U35" s="6">
        <f>'[1]Rye Meet'!C40*-1</f>
        <v>459</v>
      </c>
      <c r="V35" s="6"/>
      <c r="W35" s="6"/>
      <c r="X35" s="6"/>
      <c r="Y35" s="6">
        <v>459</v>
      </c>
      <c r="Z35" s="6"/>
      <c r="AB35">
        <v>0</v>
      </c>
      <c r="AD35" s="1" t="s">
        <v>83</v>
      </c>
      <c r="AE35" s="1">
        <f>AE33-AE34</f>
        <v>155</v>
      </c>
    </row>
    <row r="36" spans="1:31" x14ac:dyDescent="0.3">
      <c r="A36" t="s">
        <v>43</v>
      </c>
      <c r="O36" s="3"/>
      <c r="R36" s="6">
        <f>'[1]Cash Book 2022-23'!AB241</f>
        <v>257.60000000000002</v>
      </c>
      <c r="S36" s="6"/>
      <c r="T36" s="6"/>
      <c r="U36" s="6"/>
      <c r="V36" s="6"/>
      <c r="W36" s="6"/>
      <c r="X36" s="6"/>
      <c r="Y36" s="6"/>
      <c r="Z36" s="6"/>
    </row>
    <row r="37" spans="1:31" x14ac:dyDescent="0.3">
      <c r="A37" t="s">
        <v>44</v>
      </c>
      <c r="O37" s="3">
        <f>'[1]Cash Book 2021-22'!Q231</f>
        <v>399.5</v>
      </c>
      <c r="R37" s="6"/>
      <c r="S37" s="6"/>
      <c r="T37" s="6"/>
      <c r="U37" s="6">
        <f>'[1]Cash Book 2023-24'!P248</f>
        <v>73.75</v>
      </c>
      <c r="V37" s="6"/>
      <c r="W37" s="6"/>
      <c r="X37" s="6"/>
      <c r="Y37" s="6">
        <v>73.25</v>
      </c>
      <c r="Z37" s="6"/>
      <c r="AB37">
        <v>125</v>
      </c>
      <c r="AD37" t="s">
        <v>110</v>
      </c>
      <c r="AE37">
        <f>-2018-608</f>
        <v>-2626</v>
      </c>
    </row>
    <row r="38" spans="1:31" x14ac:dyDescent="0.3">
      <c r="A38" t="s">
        <v>45</v>
      </c>
      <c r="O38" s="3">
        <f>'[1]Cash Book 2021-22'!W231</f>
        <v>94.5</v>
      </c>
      <c r="R38" s="6">
        <f>'[1]Cash Book 2022-23'!W241</f>
        <v>150.84999999999991</v>
      </c>
      <c r="S38" s="6"/>
      <c r="T38" s="6"/>
      <c r="U38" s="6">
        <f>'[1]AGM Meet'!C94</f>
        <v>118.10000000000014</v>
      </c>
      <c r="V38" s="6"/>
      <c r="W38" s="6"/>
      <c r="X38" s="6"/>
      <c r="Y38" s="6">
        <v>118.1</v>
      </c>
      <c r="Z38" s="6"/>
      <c r="AB38">
        <v>57</v>
      </c>
      <c r="AD38" t="s">
        <v>106</v>
      </c>
      <c r="AE38">
        <f>3703-1708</f>
        <v>1995</v>
      </c>
    </row>
    <row r="39" spans="1:31" x14ac:dyDescent="0.3">
      <c r="A39" t="s">
        <v>98</v>
      </c>
      <c r="O39" s="3">
        <f>'[1]Cash Book 2021-22'!AB206+'[1]Cash Book 2021-22'!AB207+'[1]Cash Book 2021-22'!AB208</f>
        <v>30</v>
      </c>
      <c r="R39" s="6"/>
      <c r="S39" s="6"/>
      <c r="T39" s="6"/>
      <c r="U39" s="6"/>
      <c r="V39" s="6"/>
      <c r="W39" s="6"/>
      <c r="X39" s="6"/>
      <c r="Y39" s="6"/>
      <c r="Z39" s="6"/>
      <c r="AB39">
        <v>177</v>
      </c>
      <c r="AD39" t="s">
        <v>84</v>
      </c>
      <c r="AE39">
        <v>1708</v>
      </c>
    </row>
    <row r="40" spans="1:31" x14ac:dyDescent="0.3">
      <c r="A40" t="s">
        <v>99</v>
      </c>
      <c r="O40" s="3">
        <f>'[1]Cash Book 2021-22'!AB229</f>
        <v>150</v>
      </c>
      <c r="R40" s="6"/>
      <c r="S40" s="6"/>
      <c r="T40" s="6"/>
      <c r="U40" s="6"/>
      <c r="V40" s="6"/>
      <c r="W40" s="6"/>
      <c r="X40" s="6"/>
      <c r="Y40" s="6"/>
      <c r="Z40" s="6"/>
      <c r="AB40">
        <v>228</v>
      </c>
      <c r="AD40" s="1" t="s">
        <v>83</v>
      </c>
      <c r="AE40" s="1">
        <f>AE37+AE38+AE39</f>
        <v>1077</v>
      </c>
    </row>
    <row r="41" spans="1:31" x14ac:dyDescent="0.3">
      <c r="A41" t="s">
        <v>46</v>
      </c>
      <c r="O41" s="3">
        <f>'[1]Cash Book 2021-22'!AB28</f>
        <v>110</v>
      </c>
      <c r="R41" s="6"/>
      <c r="S41" s="6"/>
      <c r="T41" s="6"/>
      <c r="U41" s="6"/>
      <c r="V41" s="6"/>
      <c r="W41" s="6"/>
      <c r="X41" s="6"/>
      <c r="Y41" s="6"/>
      <c r="Z41" s="6"/>
      <c r="AB41">
        <v>150</v>
      </c>
    </row>
    <row r="42" spans="1:31" x14ac:dyDescent="0.3">
      <c r="A42" t="s">
        <v>47</v>
      </c>
      <c r="O42" s="3"/>
      <c r="R42" s="6"/>
      <c r="S42" s="6"/>
      <c r="T42" s="6"/>
      <c r="U42" s="6">
        <f>'[1]Centenary Dinner'!C27*-1</f>
        <v>325</v>
      </c>
      <c r="V42" s="6"/>
      <c r="W42" s="6"/>
      <c r="X42" s="6"/>
      <c r="Y42" s="6">
        <v>325</v>
      </c>
      <c r="Z42" s="6"/>
      <c r="AB42">
        <v>0</v>
      </c>
      <c r="AD42" s="1" t="s">
        <v>107</v>
      </c>
      <c r="AE42" s="1">
        <v>3000</v>
      </c>
    </row>
    <row r="43" spans="1:31" x14ac:dyDescent="0.3">
      <c r="A43" t="s">
        <v>48</v>
      </c>
      <c r="O43" s="3"/>
      <c r="R43" s="6"/>
      <c r="S43" s="6"/>
      <c r="T43" s="6"/>
      <c r="U43" s="6">
        <f>'[1]Cash Book 2023-24'!M248</f>
        <v>17</v>
      </c>
      <c r="V43" s="6"/>
      <c r="W43" s="6"/>
      <c r="X43" s="6"/>
      <c r="Y43" s="6">
        <v>17</v>
      </c>
      <c r="Z43" s="6"/>
    </row>
    <row r="44" spans="1:31" x14ac:dyDescent="0.3">
      <c r="A44" t="s">
        <v>49</v>
      </c>
      <c r="O44" s="3"/>
      <c r="R44" s="6"/>
      <c r="S44" s="6"/>
      <c r="T44" s="6"/>
      <c r="U44" s="6">
        <f>'[1]Cash Book 2023-24'!Q248</f>
        <v>435</v>
      </c>
      <c r="V44" s="6"/>
      <c r="W44" s="6"/>
      <c r="X44" s="6"/>
      <c r="Y44" s="6">
        <v>435</v>
      </c>
      <c r="Z44" s="6"/>
      <c r="AB44">
        <v>-115</v>
      </c>
    </row>
    <row r="45" spans="1:31" x14ac:dyDescent="0.3">
      <c r="A45" t="s">
        <v>50</v>
      </c>
      <c r="O45" s="3"/>
      <c r="R45" s="6"/>
      <c r="S45" s="6"/>
      <c r="T45" s="6"/>
      <c r="U45" s="6">
        <f>'[1]Cash Book 2023-24'!S248</f>
        <v>126.89999999999998</v>
      </c>
      <c r="V45" s="6"/>
      <c r="W45" s="6"/>
      <c r="X45" s="6"/>
      <c r="Y45" s="6">
        <v>126</v>
      </c>
      <c r="Z45" s="6"/>
      <c r="AB45">
        <v>60</v>
      </c>
    </row>
    <row r="46" spans="1:31" x14ac:dyDescent="0.3">
      <c r="A46" t="s">
        <v>84</v>
      </c>
      <c r="O46" s="3"/>
      <c r="R46" s="6"/>
      <c r="S46" s="6"/>
      <c r="T46" s="6"/>
      <c r="U46" s="6">
        <f>'[1]HH Accom'!C97*-1</f>
        <v>1403.21</v>
      </c>
      <c r="V46" s="6"/>
      <c r="W46" s="6"/>
      <c r="X46" s="6">
        <v>1403.21</v>
      </c>
      <c r="Y46" s="6">
        <f>X46</f>
        <v>1403.21</v>
      </c>
      <c r="Z46" s="6"/>
      <c r="AB46">
        <v>1708</v>
      </c>
    </row>
    <row r="47" spans="1:31" x14ac:dyDescent="0.3">
      <c r="A47" t="s">
        <v>51</v>
      </c>
      <c r="O47" s="3"/>
      <c r="R47" s="6"/>
      <c r="S47" s="6"/>
      <c r="T47" s="6"/>
      <c r="U47" s="6">
        <f>'[1]Cash Book 2023-24'!AE263</f>
        <v>52.5</v>
      </c>
      <c r="V47" s="6"/>
      <c r="W47" s="6"/>
      <c r="X47" s="6"/>
      <c r="Y47" s="6">
        <v>52.5</v>
      </c>
      <c r="Z47" s="6"/>
      <c r="AB47">
        <v>24</v>
      </c>
    </row>
    <row r="48" spans="1:31" x14ac:dyDescent="0.3">
      <c r="G48" s="1"/>
      <c r="O48" s="5">
        <f>SUM(O30:O41)</f>
        <v>1750.46</v>
      </c>
      <c r="R48" s="7">
        <f>SUM(R30:R41)</f>
        <v>1176.0299999999997</v>
      </c>
      <c r="S48" s="6"/>
      <c r="T48" s="6"/>
      <c r="U48" s="7">
        <f>SUM(U30:U47)</f>
        <v>2795.46</v>
      </c>
      <c r="V48" s="6"/>
      <c r="W48" s="6"/>
      <c r="X48" s="6"/>
      <c r="Y48" s="7">
        <f>SUM(Y30:Y47)</f>
        <v>2794.06</v>
      </c>
      <c r="Z48" s="6"/>
      <c r="AB48" s="7">
        <f>SUM(AB30:AB47)</f>
        <v>3703</v>
      </c>
    </row>
    <row r="53" spans="30:30" x14ac:dyDescent="0.3">
      <c r="AD53" s="1"/>
    </row>
    <row r="55" spans="30:30" x14ac:dyDescent="0.3">
      <c r="AD55" s="2"/>
    </row>
  </sheetData>
  <pageMargins left="0.34" right="0.11811023622047245" top="0.74803149606299213" bottom="0.43307086614173229" header="0.31496062992125984" footer="0.31496062992125984"/>
  <pageSetup paperSize="9" scale="72" orientation="landscape" r:id="rId1"/>
  <headerFooter>
    <oddHeader>&amp;C&amp;"-,Bold"OAGS
Income &amp; Expenditure Account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 Sept 2025</vt:lpstr>
      <vt:lpstr>P&amp;L Sept 24-25 Summary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Bonner</dc:creator>
  <cp:lastModifiedBy>Stephen Bonner</cp:lastModifiedBy>
  <cp:lastPrinted>2025-11-10T15:53:46Z</cp:lastPrinted>
  <dcterms:created xsi:type="dcterms:W3CDTF">2024-11-16T12:23:39Z</dcterms:created>
  <dcterms:modified xsi:type="dcterms:W3CDTF">2025-11-21T09:16:45Z</dcterms:modified>
</cp:coreProperties>
</file>